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7755" tabRatio="974"/>
  </bookViews>
  <sheets>
    <sheet name="calculo modulo 4" sheetId="18" r:id="rId1"/>
    <sheet name="1a POSTO 12x36 DIURNO 5 postos" sheetId="11" r:id="rId2"/>
    <sheet name="2a POSTO 12x36 DIURNO-MOTO 2Pst" sheetId="8" r:id="rId3"/>
    <sheet name="3a POSTO 44 HS DIURNO MOTORIZ. " sheetId="10" r:id="rId4"/>
    <sheet name="4a POSTO 12x36 NOTURNO 5 postos" sheetId="9" r:id="rId5"/>
    <sheet name="5a POSTO 12x36 NOTUR-MOTO 2Pst" sheetId="3" r:id="rId6"/>
    <sheet name="Uniformes" sheetId="15" r:id="rId7"/>
    <sheet name="Material de uso individual" sheetId="7" r:id="rId8"/>
    <sheet name="Masterial de uso coletivo" sheetId="5" r:id="rId9"/>
    <sheet name="Equipamentos-Depreciação" sheetId="16" r:id="rId10"/>
    <sheet name="USO MOTO" sheetId="13" r:id="rId11"/>
    <sheet name="RESUMO FINAL" sheetId="14" r:id="rId12"/>
  </sheets>
  <definedNames>
    <definedName name="_xlnm.Print_Area" localSheetId="11">'RESUMO FINAL'!$B$2:$G$18</definedName>
  </definedNames>
  <calcPr calcId="145621"/>
</workbook>
</file>

<file path=xl/calcChain.xml><?xml version="1.0" encoding="utf-8"?>
<calcChain xmlns="http://schemas.openxmlformats.org/spreadsheetml/2006/main">
  <c r="D164" i="3" l="1"/>
  <c r="D165" i="3" s="1"/>
  <c r="D163" i="3"/>
  <c r="F88" i="3" l="1"/>
  <c r="F89" i="3" s="1"/>
  <c r="F90" i="3" s="1"/>
  <c r="F91" i="3" s="1"/>
  <c r="D60" i="3"/>
  <c r="G90" i="9" l="1"/>
  <c r="G91" i="9" s="1"/>
  <c r="G92" i="9" s="1"/>
  <c r="G93" i="9" s="1"/>
  <c r="D68" i="10"/>
  <c r="D61" i="9"/>
  <c r="D61" i="8"/>
  <c r="D114" i="8"/>
  <c r="F110" i="18"/>
  <c r="H110" i="18" s="1"/>
  <c r="I110" i="18" s="1"/>
  <c r="G99" i="18"/>
  <c r="H99" i="18" s="1"/>
  <c r="G98" i="18"/>
  <c r="H98" i="18" s="1"/>
  <c r="F86" i="18"/>
  <c r="H86" i="18" s="1"/>
  <c r="I86" i="18" s="1"/>
  <c r="G75" i="18"/>
  <c r="H75" i="18" s="1"/>
  <c r="G74" i="18"/>
  <c r="H74" i="18" s="1"/>
  <c r="F62" i="18"/>
  <c r="H62" i="18" s="1"/>
  <c r="I62" i="18" s="1"/>
  <c r="G51" i="18"/>
  <c r="H51" i="18" s="1"/>
  <c r="G50" i="18"/>
  <c r="H50" i="18" s="1"/>
  <c r="G28" i="18"/>
  <c r="H28" i="18" s="1"/>
  <c r="G27" i="18"/>
  <c r="H27" i="18" s="1"/>
  <c r="F39" i="18"/>
  <c r="H39" i="18" s="1"/>
  <c r="I39" i="18" s="1"/>
  <c r="G54" i="18" l="1"/>
  <c r="H54" i="18" s="1"/>
  <c r="G56" i="18"/>
  <c r="H56" i="18" s="1"/>
  <c r="G104" i="18"/>
  <c r="H104" i="18" s="1"/>
  <c r="G106" i="18"/>
  <c r="H106" i="18" s="1"/>
  <c r="G100" i="18"/>
  <c r="H100" i="18" s="1"/>
  <c r="I111" i="18" s="1"/>
  <c r="G108" i="18"/>
  <c r="H108" i="18" s="1"/>
  <c r="I113" i="18" s="1"/>
  <c r="G102" i="18"/>
  <c r="H102" i="18" s="1"/>
  <c r="G101" i="18"/>
  <c r="H101" i="18" s="1"/>
  <c r="G103" i="18"/>
  <c r="H103" i="18" s="1"/>
  <c r="G105" i="18"/>
  <c r="H105" i="18" s="1"/>
  <c r="G107" i="18"/>
  <c r="H107" i="18" s="1"/>
  <c r="I112" i="18" s="1"/>
  <c r="G109" i="18"/>
  <c r="H109" i="18" s="1"/>
  <c r="G80" i="18"/>
  <c r="H80" i="18" s="1"/>
  <c r="G82" i="18"/>
  <c r="H82" i="18" s="1"/>
  <c r="G76" i="18"/>
  <c r="H76" i="18" s="1"/>
  <c r="I87" i="18" s="1"/>
  <c r="G84" i="18"/>
  <c r="H84" i="18" s="1"/>
  <c r="I89" i="18" s="1"/>
  <c r="G78" i="18"/>
  <c r="H78" i="18" s="1"/>
  <c r="G77" i="18"/>
  <c r="H77" i="18" s="1"/>
  <c r="G79" i="18"/>
  <c r="H79" i="18" s="1"/>
  <c r="G81" i="18"/>
  <c r="H81" i="18" s="1"/>
  <c r="G83" i="18"/>
  <c r="H83" i="18" s="1"/>
  <c r="I88" i="18" s="1"/>
  <c r="G85" i="18"/>
  <c r="H85" i="18" s="1"/>
  <c r="G58" i="18"/>
  <c r="H58" i="18" s="1"/>
  <c r="G52" i="18"/>
  <c r="H52" i="18" s="1"/>
  <c r="I63" i="18" s="1"/>
  <c r="G60" i="18"/>
  <c r="H60" i="18" s="1"/>
  <c r="I65" i="18" s="1"/>
  <c r="G53" i="18"/>
  <c r="H53" i="18" s="1"/>
  <c r="G55" i="18"/>
  <c r="H55" i="18" s="1"/>
  <c r="G57" i="18"/>
  <c r="H57" i="18" s="1"/>
  <c r="G59" i="18"/>
  <c r="H59" i="18" s="1"/>
  <c r="I64" i="18" s="1"/>
  <c r="G61" i="18"/>
  <c r="H61" i="18" s="1"/>
  <c r="G29" i="18"/>
  <c r="H29" i="18" s="1"/>
  <c r="I40" i="18" s="1"/>
  <c r="G33" i="18"/>
  <c r="G37" i="18"/>
  <c r="G30" i="18"/>
  <c r="G34" i="18"/>
  <c r="H34" i="18" s="1"/>
  <c r="G38" i="18"/>
  <c r="H38" i="18" s="1"/>
  <c r="G31" i="18"/>
  <c r="H31" i="18" s="1"/>
  <c r="G35" i="18"/>
  <c r="H35" i="18" s="1"/>
  <c r="G32" i="18"/>
  <c r="H32" i="18" s="1"/>
  <c r="G36" i="18"/>
  <c r="H36" i="18" s="1"/>
  <c r="I41" i="18" s="1"/>
  <c r="H33" i="18"/>
  <c r="H37" i="18"/>
  <c r="I42" i="18" s="1"/>
  <c r="H30" i="18"/>
  <c r="I43" i="18" l="1"/>
  <c r="I66" i="18"/>
  <c r="I114" i="18"/>
  <c r="I90" i="18"/>
  <c r="F17" i="18"/>
  <c r="D66" i="11" l="1"/>
  <c r="D31" i="11"/>
  <c r="D65" i="11" l="1"/>
  <c r="D67" i="3" l="1"/>
  <c r="D68" i="9"/>
  <c r="D68" i="8"/>
  <c r="P14" i="13" l="1"/>
  <c r="M13" i="13"/>
  <c r="O13" i="13" s="1"/>
  <c r="L14" i="13" s="1"/>
  <c r="M20" i="13"/>
  <c r="M23" i="13" s="1"/>
  <c r="J24" i="13"/>
  <c r="C13" i="13"/>
  <c r="G13" i="13"/>
  <c r="I13" i="13" s="1"/>
  <c r="J13" i="13" s="1"/>
  <c r="F14" i="13" s="1"/>
  <c r="H22" i="13"/>
  <c r="C22" i="13"/>
  <c r="H20" i="13"/>
  <c r="C20" i="13"/>
  <c r="C23" i="13" s="1"/>
  <c r="C24" i="13" s="1"/>
  <c r="H23" i="13" l="1"/>
  <c r="H24" i="13" s="1"/>
  <c r="M24" i="13"/>
  <c r="E13" i="13"/>
  <c r="B14" i="13" s="1"/>
  <c r="J7" i="16"/>
  <c r="K7" i="16" s="1"/>
  <c r="L7" i="16" l="1"/>
  <c r="M7" i="16" s="1"/>
  <c r="C26" i="13"/>
  <c r="Q13" i="13"/>
  <c r="L19" i="16" s="1"/>
  <c r="J17" i="16"/>
  <c r="K17" i="16" s="1"/>
  <c r="L17" i="16" l="1"/>
  <c r="Q17" i="16"/>
  <c r="P17" i="16"/>
  <c r="J6" i="16" l="1"/>
  <c r="K6" i="16" s="1"/>
  <c r="H5" i="16"/>
  <c r="J5" i="16" s="1"/>
  <c r="K5" i="16" s="1"/>
  <c r="J19" i="16"/>
  <c r="J18" i="16"/>
  <c r="J16" i="16"/>
  <c r="H15" i="16"/>
  <c r="J14" i="16"/>
  <c r="L16" i="16" l="1"/>
  <c r="K16" i="16"/>
  <c r="K19" i="16"/>
  <c r="K14" i="16"/>
  <c r="L18" i="16"/>
  <c r="J15" i="16"/>
  <c r="K18" i="16"/>
  <c r="L5" i="16"/>
  <c r="M5" i="16" s="1"/>
  <c r="M8" i="16" s="1"/>
  <c r="L6" i="16"/>
  <c r="M6" i="16" s="1"/>
  <c r="P14" i="16" l="1"/>
  <c r="N14" i="16"/>
  <c r="M14" i="16"/>
  <c r="Q14" i="16"/>
  <c r="O14" i="16"/>
  <c r="P16" i="16"/>
  <c r="N16" i="16"/>
  <c r="Q16" i="16"/>
  <c r="O16" i="16"/>
  <c r="M16" i="16"/>
  <c r="Q18" i="16"/>
  <c r="O18" i="16"/>
  <c r="N18" i="16"/>
  <c r="L15" i="16"/>
  <c r="K15" i="16"/>
  <c r="M9" i="16"/>
  <c r="Q15" i="16" l="1"/>
  <c r="O15" i="16"/>
  <c r="M15" i="16"/>
  <c r="M20" i="16" s="1"/>
  <c r="M21" i="16" s="1"/>
  <c r="M23" i="16" s="1"/>
  <c r="D128" i="11" s="1"/>
  <c r="P15" i="16"/>
  <c r="P20" i="16" s="1"/>
  <c r="P21" i="16" s="1"/>
  <c r="P23" i="16" s="1"/>
  <c r="D131" i="9" s="1"/>
  <c r="N15" i="16"/>
  <c r="H5" i="5"/>
  <c r="H4" i="5"/>
  <c r="H14" i="15"/>
  <c r="H13" i="15"/>
  <c r="H12" i="15"/>
  <c r="H11" i="15"/>
  <c r="H10" i="15"/>
  <c r="H9" i="15"/>
  <c r="H8" i="15"/>
  <c r="H7" i="15"/>
  <c r="H6" i="15"/>
  <c r="H5" i="15"/>
  <c r="E10" i="14"/>
  <c r="D10" i="14"/>
  <c r="H6" i="5" l="1"/>
  <c r="H7" i="5" s="1"/>
  <c r="H15" i="15"/>
  <c r="D128" i="8" s="1"/>
  <c r="H12" i="5"/>
  <c r="H13" i="5"/>
  <c r="H14" i="5" s="1"/>
  <c r="D129" i="3" l="1"/>
  <c r="D130" i="10"/>
  <c r="D130" i="8"/>
  <c r="D125" i="11"/>
  <c r="D127" i="3"/>
  <c r="D128" i="9"/>
  <c r="D128" i="10"/>
  <c r="H15" i="5"/>
  <c r="D130" i="9" s="1"/>
  <c r="D127" i="11" l="1"/>
  <c r="D66" i="3"/>
  <c r="D67" i="9"/>
  <c r="D67" i="10" l="1"/>
  <c r="N19" i="16" l="1"/>
  <c r="N20" i="16" s="1"/>
  <c r="N21" i="16" s="1"/>
  <c r="N23" i="16" s="1"/>
  <c r="D131" i="8" s="1"/>
  <c r="Q19" i="16"/>
  <c r="Q20" i="16" s="1"/>
  <c r="Q21" i="16" s="1"/>
  <c r="Q23" i="16" s="1"/>
  <c r="D130" i="3" s="1"/>
  <c r="O19" i="16"/>
  <c r="O20" i="16" s="1"/>
  <c r="O21" i="16" s="1"/>
  <c r="D111" i="11"/>
  <c r="D118" i="11" s="1"/>
  <c r="D37" i="11"/>
  <c r="D121" i="10"/>
  <c r="D71" i="10"/>
  <c r="D79" i="10" s="1"/>
  <c r="D114" i="9"/>
  <c r="D121" i="9" s="1"/>
  <c r="D32" i="9"/>
  <c r="D71" i="9"/>
  <c r="D79" i="9" s="1"/>
  <c r="G17" i="18" l="1"/>
  <c r="O23" i="16"/>
  <c r="D131" i="10" s="1"/>
  <c r="E102" i="11"/>
  <c r="E101" i="11"/>
  <c r="D44" i="11"/>
  <c r="D45" i="11" s="1"/>
  <c r="E100" i="11"/>
  <c r="D69" i="11"/>
  <c r="D77" i="11" s="1"/>
  <c r="D147" i="11"/>
  <c r="D32" i="10"/>
  <c r="D38" i="10" s="1"/>
  <c r="D38" i="9"/>
  <c r="G7" i="18" l="1"/>
  <c r="H7" i="18" s="1"/>
  <c r="I18" i="18" s="1"/>
  <c r="G6" i="18"/>
  <c r="H6" i="18" s="1"/>
  <c r="G5" i="18"/>
  <c r="H5" i="18" s="1"/>
  <c r="G10" i="18"/>
  <c r="H10" i="18" s="1"/>
  <c r="G16" i="18"/>
  <c r="H16" i="18" s="1"/>
  <c r="G11" i="18"/>
  <c r="H11" i="18" s="1"/>
  <c r="G12" i="18"/>
  <c r="H12" i="18" s="1"/>
  <c r="G8" i="18"/>
  <c r="H8" i="18" s="1"/>
  <c r="G14" i="18"/>
  <c r="H14" i="18" s="1"/>
  <c r="I19" i="18" s="1"/>
  <c r="G9" i="18"/>
  <c r="H9" i="18" s="1"/>
  <c r="G15" i="18"/>
  <c r="H15" i="18" s="1"/>
  <c r="I20" i="18" s="1"/>
  <c r="G13" i="18"/>
  <c r="H13" i="18" s="1"/>
  <c r="H17" i="18"/>
  <c r="I17" i="18" s="1"/>
  <c r="D45" i="9"/>
  <c r="D46" i="9" s="1"/>
  <c r="D46" i="11"/>
  <c r="D150" i="10"/>
  <c r="D45" i="10"/>
  <c r="D150" i="9"/>
  <c r="E51" i="11" l="1"/>
  <c r="I21" i="18"/>
  <c r="E58" i="11"/>
  <c r="D84" i="11" s="1"/>
  <c r="D75" i="11"/>
  <c r="E55" i="11"/>
  <c r="E52" i="11"/>
  <c r="E54" i="11"/>
  <c r="E57" i="11"/>
  <c r="E53" i="11"/>
  <c r="E56" i="11"/>
  <c r="D46" i="10"/>
  <c r="D47" i="10" s="1"/>
  <c r="D47" i="9"/>
  <c r="E59" i="11" l="1"/>
  <c r="D76" i="11" s="1"/>
  <c r="D78" i="11" s="1"/>
  <c r="D85" i="11"/>
  <c r="E84" i="11"/>
  <c r="D77" i="9"/>
  <c r="E58" i="9"/>
  <c r="E56" i="9"/>
  <c r="E59" i="9"/>
  <c r="E53" i="9"/>
  <c r="E55" i="9"/>
  <c r="E57" i="9"/>
  <c r="E60" i="9"/>
  <c r="D86" i="9" s="1"/>
  <c r="D77" i="10"/>
  <c r="E58" i="10"/>
  <c r="E54" i="10"/>
  <c r="E59" i="10"/>
  <c r="E55" i="10"/>
  <c r="E60" i="10"/>
  <c r="D86" i="10" s="1"/>
  <c r="E56" i="10"/>
  <c r="E57" i="10"/>
  <c r="E53" i="10"/>
  <c r="E54" i="9"/>
  <c r="D87" i="11" l="1"/>
  <c r="D87" i="9"/>
  <c r="D88" i="9" s="1"/>
  <c r="D87" i="10"/>
  <c r="D88" i="10" s="1"/>
  <c r="D86" i="11"/>
  <c r="E86" i="11" s="1"/>
  <c r="E85" i="11"/>
  <c r="E61" i="9"/>
  <c r="D148" i="11"/>
  <c r="E61" i="10"/>
  <c r="D89" i="11" l="1"/>
  <c r="E89" i="11" s="1"/>
  <c r="E91" i="11"/>
  <c r="D88" i="11"/>
  <c r="E88" i="11" s="1"/>
  <c r="E90" i="11"/>
  <c r="E87" i="11"/>
  <c r="D78" i="9"/>
  <c r="D80" i="9" s="1"/>
  <c r="D151" i="9" s="1"/>
  <c r="D89" i="9"/>
  <c r="D91" i="9" s="1"/>
  <c r="D78" i="10"/>
  <c r="D80" i="10" s="1"/>
  <c r="D151" i="10" s="1"/>
  <c r="D89" i="10"/>
  <c r="D90" i="11" l="1"/>
  <c r="D149" i="11" s="1"/>
  <c r="D90" i="10"/>
  <c r="D91" i="10"/>
  <c r="D90" i="9"/>
  <c r="D92" i="9" s="1"/>
  <c r="D67" i="8"/>
  <c r="D92" i="10" l="1"/>
  <c r="D152" i="10" s="1"/>
  <c r="D152" i="9"/>
  <c r="D107" i="9"/>
  <c r="D120" i="9" s="1"/>
  <c r="D122" i="9" s="1"/>
  <c r="D153" i="9" s="1"/>
  <c r="D107" i="10"/>
  <c r="D120" i="10" s="1"/>
  <c r="D122" i="10" s="1"/>
  <c r="D153" i="10" s="1"/>
  <c r="E99" i="11"/>
  <c r="D104" i="11"/>
  <c r="D117" i="11" s="1"/>
  <c r="D119" i="11" s="1"/>
  <c r="D150" i="11" s="1"/>
  <c r="D71" i="8"/>
  <c r="D79" i="8" s="1"/>
  <c r="D32" i="8"/>
  <c r="D38" i="8" s="1"/>
  <c r="D121" i="8" l="1"/>
  <c r="D45" i="8"/>
  <c r="D46" i="8" s="1"/>
  <c r="D150" i="8"/>
  <c r="H9" i="7"/>
  <c r="H8" i="7"/>
  <c r="H7" i="7"/>
  <c r="H6" i="7"/>
  <c r="D47" i="8" l="1"/>
  <c r="H10" i="7"/>
  <c r="D129" i="8" s="1"/>
  <c r="D128" i="3" l="1"/>
  <c r="D129" i="9"/>
  <c r="D126" i="11"/>
  <c r="D129" i="10"/>
  <c r="D77" i="8"/>
  <c r="E60" i="8"/>
  <c r="D86" i="8" s="1"/>
  <c r="E54" i="8"/>
  <c r="E53" i="8"/>
  <c r="E58" i="8"/>
  <c r="E57" i="8"/>
  <c r="E56" i="8"/>
  <c r="E55" i="8"/>
  <c r="E59" i="8"/>
  <c r="D87" i="8" l="1"/>
  <c r="D88" i="8" s="1"/>
  <c r="D132" i="9"/>
  <c r="D154" i="9" s="1"/>
  <c r="D155" i="9" s="1"/>
  <c r="E61" i="8"/>
  <c r="D129" i="11"/>
  <c r="D78" i="8" l="1"/>
  <c r="D80" i="8" s="1"/>
  <c r="D89" i="8"/>
  <c r="E138" i="9"/>
  <c r="E139" i="9" s="1"/>
  <c r="D157" i="9" s="1"/>
  <c r="D132" i="10"/>
  <c r="E135" i="11"/>
  <c r="D151" i="11"/>
  <c r="D152" i="11" s="1"/>
  <c r="D131" i="3"/>
  <c r="D153" i="3" s="1"/>
  <c r="D132" i="8"/>
  <c r="D70" i="3"/>
  <c r="D78" i="3" s="1"/>
  <c r="D31" i="3"/>
  <c r="D37" i="3" s="1"/>
  <c r="D90" i="8" l="1"/>
  <c r="D91" i="8"/>
  <c r="D151" i="8"/>
  <c r="D107" i="8"/>
  <c r="D120" i="8" s="1"/>
  <c r="D122" i="8" s="1"/>
  <c r="D153" i="8" s="1"/>
  <c r="E138" i="10"/>
  <c r="E139" i="10" s="1"/>
  <c r="D154" i="10"/>
  <c r="D155" i="10" s="1"/>
  <c r="D149" i="3"/>
  <c r="D113" i="3"/>
  <c r="D120" i="3" s="1"/>
  <c r="D44" i="3"/>
  <c r="D45" i="3" s="1"/>
  <c r="D46" i="3" s="1"/>
  <c r="D76" i="3" s="1"/>
  <c r="E143" i="9"/>
  <c r="E141" i="9"/>
  <c r="D154" i="8"/>
  <c r="E136" i="11"/>
  <c r="D92" i="8" l="1"/>
  <c r="D152" i="8" s="1"/>
  <c r="D155" i="8" s="1"/>
  <c r="D157" i="10"/>
  <c r="E141" i="10" s="1"/>
  <c r="E144" i="9"/>
  <c r="D156" i="9" s="1"/>
  <c r="D158" i="9" s="1"/>
  <c r="D164" i="9" s="1"/>
  <c r="D165" i="9" s="1"/>
  <c r="D154" i="11"/>
  <c r="E53" i="3"/>
  <c r="E55" i="3"/>
  <c r="E58" i="3"/>
  <c r="E57" i="3"/>
  <c r="E56" i="3"/>
  <c r="E59" i="3"/>
  <c r="D85" i="3" s="1"/>
  <c r="E52" i="3"/>
  <c r="E54" i="3"/>
  <c r="F8" i="14" l="1"/>
  <c r="G8" i="14" s="1"/>
  <c r="D166" i="9"/>
  <c r="E138" i="8"/>
  <c r="E139" i="8" s="1"/>
  <c r="D86" i="3"/>
  <c r="D87" i="3" s="1"/>
  <c r="D157" i="8"/>
  <c r="E141" i="8" s="1"/>
  <c r="E143" i="10"/>
  <c r="E144" i="10" s="1"/>
  <c r="D156" i="10" s="1"/>
  <c r="D158" i="10" s="1"/>
  <c r="E140" i="11"/>
  <c r="E138" i="11"/>
  <c r="D155" i="11"/>
  <c r="D161" i="11" s="1"/>
  <c r="D162" i="11" s="1"/>
  <c r="D163" i="11" s="1"/>
  <c r="E60" i="3"/>
  <c r="F7" i="14" l="1"/>
  <c r="G7" i="14" s="1"/>
  <c r="D164" i="10"/>
  <c r="D165" i="10" s="1"/>
  <c r="D166" i="10" s="1"/>
  <c r="D77" i="3"/>
  <c r="D79" i="3" s="1"/>
  <c r="D150" i="3" s="1"/>
  <c r="D88" i="3"/>
  <c r="D90" i="3" s="1"/>
  <c r="E143" i="8"/>
  <c r="E144" i="8" s="1"/>
  <c r="D156" i="8" s="1"/>
  <c r="D158" i="8" s="1"/>
  <c r="F5" i="14"/>
  <c r="G5" i="14" s="1"/>
  <c r="E141" i="11"/>
  <c r="D153" i="11" s="1"/>
  <c r="F6" i="14" l="1"/>
  <c r="G6" i="14" s="1"/>
  <c r="D163" i="8"/>
  <c r="D164" i="8" s="1"/>
  <c r="D165" i="8" s="1"/>
  <c r="D89" i="3"/>
  <c r="D91" i="3" s="1"/>
  <c r="D151" i="3" s="1"/>
  <c r="D106" i="3" l="1"/>
  <c r="D119" i="3" s="1"/>
  <c r="D121" i="3" s="1"/>
  <c r="D152" i="3" l="1"/>
  <c r="D154" i="3" s="1"/>
  <c r="E137" i="3"/>
  <c r="E138" i="3" s="1"/>
  <c r="D156" i="3" l="1"/>
  <c r="E140" i="3" s="1"/>
  <c r="D157" i="3" l="1"/>
  <c r="F9" i="14" s="1"/>
  <c r="E142" i="3"/>
  <c r="E143" i="3" s="1"/>
  <c r="D155" i="3" s="1"/>
  <c r="G9" i="14" l="1"/>
  <c r="G12" i="14" l="1"/>
  <c r="G13" i="14" s="1"/>
</calcChain>
</file>

<file path=xl/comments1.xml><?xml version="1.0" encoding="utf-8"?>
<comments xmlns="http://schemas.openxmlformats.org/spreadsheetml/2006/main">
  <authors>
    <author>Usuario</author>
  </authors>
  <commentList>
    <comment ref="C87" authorId="0">
      <text>
        <r>
          <rPr>
            <sz val="9"/>
            <color indexed="81"/>
            <rFont val="Tahoma"/>
            <charset val="1"/>
          </rPr>
          <t xml:space="preserve">Art. 488 - O horário normal de trabalho do empregado, durante o prazo do aviso, e se a rescisão tiver sido promovida pelo empregador, será reduzido de 2 (duas) horas diárias, sem prejuízo do salário integral.
Parágrafo único - É facultado ao empregado trabalhar sem a redução das 2 (duas) horas diárias previstas neste artigo, caso em que poderá faltar ao serviço, sem prejuízo do salário integral, por 1 (um) dia, na hipótese do inciso l, e por 7 (sete) dias corridos, na hipótese do inciso lI do art. 487 desta Consolidação. (Incluído pela Lei nº 7.093, de 25.4.1983)
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C89" authorId="0">
      <text>
        <r>
          <rPr>
            <sz val="9"/>
            <color indexed="81"/>
            <rFont val="Tahoma"/>
            <charset val="1"/>
          </rPr>
          <t xml:space="preserve">Art. 488 - O horário normal de trabalho do empregado, durante o prazo do aviso, e se a rescisão tiver sido promovida pelo empregador, será reduzido de 2 (duas) horas diárias, sem prejuízo do salário integral.
Parágrafo único - É facultado ao empregado trabalhar sem a redução das 2 (duas) horas diárias previstas neste artigo, caso em que poderá faltar ao serviço, sem prejuízo do salário integral, por 1 (um) dia, na hipótese do inciso l, e por 7 (sete) dias corridos, na hipótese do inciso lI do art. 487 desta Consolidação. (Incluído pela Lei nº 7.093, de 25.4.1983)
</t>
        </r>
      </text>
    </comment>
  </commentList>
</comments>
</file>

<file path=xl/comments3.xml><?xml version="1.0" encoding="utf-8"?>
<comments xmlns="http://schemas.openxmlformats.org/spreadsheetml/2006/main">
  <authors>
    <author>Usuario</author>
  </authors>
  <commentList>
    <comment ref="C89" authorId="0">
      <text>
        <r>
          <rPr>
            <sz val="9"/>
            <color indexed="81"/>
            <rFont val="Tahoma"/>
            <charset val="1"/>
          </rPr>
          <t xml:space="preserve">Art. 488 - O horário normal de trabalho do empregado, durante o prazo do aviso, e se a rescisão tiver sido promovida pelo empregador, será reduzido de 2 (duas) horas diárias, sem prejuízo do salário integral.
Parágrafo único - É facultado ao empregado trabalhar sem a redução das 2 (duas) horas diárias previstas neste artigo, caso em que poderá faltar ao serviço, sem prejuízo do salário integral, por 1 (um) dia, na hipótese do inciso l, e por 7 (sete) dias corridos, na hipótese do inciso lI do art. 487 desta Consolidação. (Incluído pela Lei nº 7.093, de 25.4.1983)
</t>
        </r>
      </text>
    </comment>
  </commentList>
</comments>
</file>

<file path=xl/comments4.xml><?xml version="1.0" encoding="utf-8"?>
<comments xmlns="http://schemas.openxmlformats.org/spreadsheetml/2006/main">
  <authors>
    <author>Usuario</author>
  </authors>
  <commentList>
    <comment ref="C89" authorId="0">
      <text>
        <r>
          <rPr>
            <sz val="9"/>
            <color indexed="81"/>
            <rFont val="Tahoma"/>
            <charset val="1"/>
          </rPr>
          <t xml:space="preserve">Art. 488 - O horário normal de trabalho do empregado, durante o prazo do aviso, e se a rescisão tiver sido promovida pelo empregador, será reduzido de 2 (duas) horas diárias, sem prejuízo do salário integral.
Parágrafo único - É facultado ao empregado trabalhar sem a redução das 2 (duas) horas diárias previstas neste artigo, caso em que poderá faltar ao serviço, sem prejuízo do salário integral, por 1 (um) dia, na hipótese do inciso l, e por 7 (sete) dias corridos, na hipótese do inciso lI do art. 487 desta Consolidação. (Incluído pela Lei nº 7.093, de 25.4.1983)
</t>
        </r>
      </text>
    </comment>
  </commentList>
</comments>
</file>

<file path=xl/comments5.xml><?xml version="1.0" encoding="utf-8"?>
<comments xmlns="http://schemas.openxmlformats.org/spreadsheetml/2006/main">
  <authors>
    <author>Usuario</author>
  </authors>
  <commentList>
    <comment ref="C88" authorId="0">
      <text>
        <r>
          <rPr>
            <sz val="9"/>
            <color indexed="81"/>
            <rFont val="Tahoma"/>
            <charset val="1"/>
          </rPr>
          <t xml:space="preserve">Art. 488 - O horário normal de trabalho do empregado, durante o prazo do aviso, e se a rescisão tiver sido promovida pelo empregador, será reduzido de 2 (duas) horas diárias, sem prejuízo do salário integral.
Parágrafo único - É facultado ao empregado trabalhar sem a redução das 2 (duas) horas diárias previstas neste artigo, caso em que poderá faltar ao serviço, sem prejuízo do salário integral, por 1 (um) dia, na hipótese do inciso l, e por 7 (sete) dias corridos, na hipótese do inciso lI do art. 487 desta Consolidação. (Incluído pela Lei nº 7.093, de 25.4.1983)
</t>
        </r>
      </text>
    </comment>
  </commentList>
</comments>
</file>

<file path=xl/comments6.xml><?xml version="1.0" encoding="utf-8"?>
<comments xmlns="http://schemas.openxmlformats.org/spreadsheetml/2006/main">
  <authors>
    <author>Persilenne Mc Comb Celucio Marques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>TEMPO ESTIMADO. NÃO ENCONTRADO NO SITE DA RFB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TX ESTIMADA. NÃO ENCONTRADO NO SITE DA RFB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não há tx de manutenção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TEMPO ESTIMADO. NÃO ENCONTRADO NO SITE DA RFB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TX ESTIMADA. NÃO ENCONTRADO NO SITE DA RFB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TEMPO ESTIMADO. NÃO ENCONTRADO NO SITE DA RFB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TEMPO ESTIMADO. NÃO ENCONTRADO NO SITE DA RFB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TX ESTIMADA. NÃO ENCONTRADO NO SITE DA RFB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MOTO ANO 2018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MOTO ANO 2014</t>
        </r>
      </text>
    </comment>
  </commentList>
</comments>
</file>

<file path=xl/comments7.xml><?xml version="1.0" encoding="utf-8"?>
<comments xmlns="http://schemas.openxmlformats.org/spreadsheetml/2006/main">
  <authors>
    <author>Paulo</author>
  </authors>
  <commentList>
    <comment ref="B12" authorId="0">
      <text>
        <r>
          <rPr>
            <b/>
            <sz val="9"/>
            <color indexed="81"/>
            <rFont val="Segoe UI"/>
            <family val="2"/>
          </rPr>
          <t>CAPACIDADE DO TANQUE: 12 LITROS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2" authorId="0">
      <text>
        <r>
          <rPr>
            <b/>
            <sz val="9"/>
            <color indexed="81"/>
            <rFont val="Segoe UI"/>
            <family val="2"/>
          </rPr>
          <t>CAPACIDADE DO TANQUE: 12 LITROS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2" authorId="0">
      <text>
        <r>
          <rPr>
            <b/>
            <sz val="9"/>
            <color indexed="81"/>
            <rFont val="Segoe UI"/>
            <family val="2"/>
          </rPr>
          <t>CAPACIDADE DO TANQUE: 12 LITROS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2" authorId="0">
      <text>
        <r>
          <rPr>
            <b/>
            <sz val="9"/>
            <color indexed="81"/>
            <rFont val="Segoe UI"/>
            <family val="2"/>
          </rPr>
          <t>QTE. ANUAL:
1 PNEU TRASEIRO
1 PNEU DIANTEIRO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12" authorId="0">
      <text>
        <r>
          <rPr>
            <b/>
            <sz val="9"/>
            <color indexed="81"/>
            <rFont val="Segoe UI"/>
            <family val="2"/>
          </rPr>
          <t>CAPACIDADE DO TANQUE: 12 LITROS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12" authorId="0">
      <text>
        <r>
          <rPr>
            <b/>
            <sz val="9"/>
            <color indexed="81"/>
            <rFont val="Segoe UI"/>
            <family val="2"/>
          </rPr>
          <t>CAPACIDADE DO MOTOR: 1,2 LITROS</t>
        </r>
      </text>
    </comment>
  </commentList>
</comments>
</file>

<file path=xl/sharedStrings.xml><?xml version="1.0" encoding="utf-8"?>
<sst xmlns="http://schemas.openxmlformats.org/spreadsheetml/2006/main" count="1366" uniqueCount="329">
  <si>
    <t>Adicional Noturno</t>
  </si>
  <si>
    <t>Total</t>
  </si>
  <si>
    <t>SEBRAE</t>
  </si>
  <si>
    <t>INCRA</t>
  </si>
  <si>
    <t>FGTS</t>
  </si>
  <si>
    <t>Insumos Diversos</t>
  </si>
  <si>
    <t>Custos Indiretos, Tributos e Lucro</t>
  </si>
  <si>
    <t>Custos Indiretos</t>
  </si>
  <si>
    <t>Tributos</t>
  </si>
  <si>
    <t>Lucro</t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</si>
  <si>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</si>
  <si>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</si>
  <si>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</si>
  <si>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</si>
  <si>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</si>
  <si>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</si>
  <si>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C</t>
  </si>
  <si>
    <t>Adicional de Insalubridade</t>
  </si>
  <si>
    <t>D</t>
  </si>
  <si>
    <t>E</t>
  </si>
  <si>
    <t>Adicional de Hora Noturna Reduzida</t>
  </si>
  <si>
    <t>F</t>
  </si>
  <si>
    <t>G</t>
  </si>
  <si>
    <t>Outros (especificar)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</si>
  <si>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</si>
  <si>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</si>
  <si>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</si>
  <si>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</si>
  <si>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</si>
  <si>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</si>
  <si>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</si>
  <si>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</si>
  <si>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</si>
  <si>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</si>
  <si>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</si>
  <si>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</si>
  <si>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</si>
  <si>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H</t>
  </si>
  <si>
    <t xml:space="preserve">Total </t>
  </si>
  <si>
    <t>Submódulo 2.3 - Benefícios Mensais e Diários.</t>
  </si>
  <si>
    <t>2.3</t>
  </si>
  <si>
    <t>Benefícios Mensais e Diários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</si>
  <si>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</si>
  <si>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</si>
  <si>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</si>
  <si>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</si>
  <si>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Módulo 4 - Custo de Reposição do Profissional Ausente</t>
  </si>
  <si>
    <t>Submódulo 4.1 - Ausências Legais</t>
  </si>
  <si>
    <t>4.1</t>
  </si>
  <si>
    <t>Ausências Legais</t>
  </si>
  <si>
    <t>4.2</t>
  </si>
  <si>
    <t>Quadro-Resumo do Módulo 4 - Custo de Reposição do Profissional Ausente</t>
  </si>
  <si>
    <t>Custo de Reposição do Profissional Ausente</t>
  </si>
  <si>
    <t>Módulo 5 - Insumos Diversos</t>
  </si>
  <si>
    <t>Uniformes</t>
  </si>
  <si>
    <t>Módulo 6 - Custos Indiretos, Tributos e Lucro</t>
  </si>
  <si>
    <t>C.1. Tributos Federais (especificar)</t>
  </si>
  <si>
    <t>C.2. Tributos Estaduais (especificar)</t>
  </si>
  <si>
    <t>C.3. Tributos Municipais (especificar)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</si>
  <si>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</si>
  <si>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</si>
  <si>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</si>
  <si>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</si>
  <si>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por Empregado </t>
  </si>
  <si>
    <t>PLANILHA DE CUSTOS E FORMAÇÃO DE PREÇOS</t>
  </si>
  <si>
    <t>MODELO PARA A CONSOLIDAÇÃO E APRESENTAÇÃO DE PROPOSTAS</t>
  </si>
  <si>
    <t>Com ajustes após publicação da Lei n° 13.467, de 2017.</t>
  </si>
  <si>
    <t>CUSTO TOTAL MENSAL POR VIGILANTE (POSTO C/ 2 VIGILANTES) - R$</t>
  </si>
  <si>
    <t>CUSTO TOTAL MENSAL - R$</t>
  </si>
  <si>
    <t>TX. MENSAL
MANUTENÇÃO (0,5%)</t>
  </si>
  <si>
    <t>VLR. MENSAL
DEPRECIAÇÃO (R$)</t>
  </si>
  <si>
    <t>VALOR ESTIMADO
RESIDUAL DO BEM</t>
  </si>
  <si>
    <t>PREÇO ESTIMADO AO FINAL DA VIDA ÚTIL (R$)</t>
  </si>
  <si>
    <t>PREÇO MÉDIO DE AQUISIÇÃO
UNIT. (R$)</t>
  </si>
  <si>
    <t>QTD
POR POSTO</t>
  </si>
  <si>
    <t>TX. ANUAL
DEPREC. (%)</t>
  </si>
  <si>
    <t>VIDA ÚTIL
(ANOS)</t>
  </si>
  <si>
    <t>CÓD.
RECEITA
FEDERAL</t>
  </si>
  <si>
    <t>DESCRIÇÃO</t>
  </si>
  <si>
    <t>ITEM</t>
  </si>
  <si>
    <t>UNIDADE</t>
  </si>
  <si>
    <t>Livro de Ocorrência (100 folhas)</t>
  </si>
  <si>
    <t>Munição calibre 38, de boa qualidade.</t>
  </si>
  <si>
    <r>
      <t xml:space="preserve">CUSTO TOTAL MENSAL
</t>
    </r>
    <r>
      <rPr>
        <b/>
        <sz val="11"/>
        <color rgb="FFFF0000"/>
        <rFont val="Calibri"/>
        <family val="2"/>
        <scheme val="minor"/>
      </rPr>
      <t>POR POSTO</t>
    </r>
    <r>
      <rPr>
        <b/>
        <sz val="11"/>
        <color rgb="FF000000"/>
        <rFont val="Calibri"/>
        <family val="2"/>
        <scheme val="minor"/>
      </rPr>
      <t xml:space="preserve"> (R$)</t>
    </r>
  </si>
  <si>
    <t>VIDA ÚTIL
(MESES)</t>
  </si>
  <si>
    <t>PREÇO MÉDIO
UNIT. (R$)</t>
  </si>
  <si>
    <t>RELAÇÃO DE MATERIAIS</t>
  </si>
  <si>
    <t>CUSTO TOTAL MENSAL POR VIGILANTE - R$</t>
  </si>
  <si>
    <t>Colete Tatico Capa Balístico, de boa qualidade, com bolsos e porta treco, porta HT móvel e Coldre com fiel para colocação da arma.</t>
  </si>
  <si>
    <t xml:space="preserve">Fiel duplo trançado, de boa qualidade, para apito e arma. </t>
  </si>
  <si>
    <t>Apito de metal.</t>
  </si>
  <si>
    <t>Capa de chuva, com mangas longas e capuz, de boa qualidade</t>
  </si>
  <si>
    <r>
      <t xml:space="preserve">CUSTO TOTAL MENSAL
</t>
    </r>
    <r>
      <rPr>
        <b/>
        <sz val="11"/>
        <color rgb="FFFF0000"/>
        <rFont val="Calibri"/>
        <family val="2"/>
        <scheme val="minor"/>
      </rPr>
      <t>POR VIGILANTE</t>
    </r>
    <r>
      <rPr>
        <b/>
        <sz val="11"/>
        <color rgb="FF000000"/>
        <rFont val="Calibri"/>
        <family val="2"/>
        <scheme val="minor"/>
      </rPr>
      <t xml:space="preserve"> (R$)</t>
    </r>
  </si>
  <si>
    <t>QTD</t>
  </si>
  <si>
    <t>Distintivo</t>
  </si>
  <si>
    <t>Crachá (confeccionado em cartão de PVC, medindo 85 x 50 mm equipado de presilha, tipo jacaré).**</t>
  </si>
  <si>
    <t>Luva Meio Dedo Tatica  Militar Moto, em Microfibra, couro e fibras elásticas (leve e flexível), com fechamento no Punho de Velcro com ajuste e material anti-derrapante na palma.</t>
  </si>
  <si>
    <t>Cinto Tático de nylon na cor preta, fivela em metal, com garra regulável, de boa qualidade.</t>
  </si>
  <si>
    <t>Jaqueta de Frio</t>
  </si>
  <si>
    <t>Boné confeccionado em tecido de brim, com logomarca da empresa, de boa qualidade.</t>
  </si>
  <si>
    <t>PAR</t>
  </si>
  <si>
    <t>Par de calçado: botina de segurança, solado baixo, vaqueta relax, poliuretano (pu) bi-densidade, hidrofugado, elástico nas laterais/recoberto, acolchoado, palmilha de couro antibacteriana, biqueira plástica, com certificado de aprovação do Ministério do Trabalho e Emprego, de boa qualidade.</t>
  </si>
  <si>
    <t>Par de meia em algodão, tipo cano longo, de boa qualidade. Marca Trifill, Lupo ou similar.</t>
  </si>
  <si>
    <r>
      <t xml:space="preserve">Camisa social, </t>
    </r>
    <r>
      <rPr>
        <b/>
        <sz val="11"/>
        <color rgb="FF000000"/>
        <rFont val="Calibri"/>
        <family val="2"/>
        <scheme val="minor"/>
      </rPr>
      <t>manga longa,</t>
    </r>
    <r>
      <rPr>
        <sz val="11"/>
        <color rgb="FF000000"/>
        <rFont val="Calibri"/>
        <family val="2"/>
        <scheme val="minor"/>
      </rPr>
      <t xml:space="preserve"> tecido tricioline mista com emblema da empresa pintado no lado superior esquerdo, de boa qualidade.</t>
    </r>
  </si>
  <si>
    <t>Calça em oxford, braguilha com zíper e quatro bolsos embutidos, de boa qualidade.</t>
  </si>
  <si>
    <t>RELAÇÃO DE UNIFORMES</t>
  </si>
  <si>
    <t>Substituto na cobertura de Férias</t>
  </si>
  <si>
    <t>Substituto na cobertura de Ausências Legais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</si>
  <si>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</si>
  <si>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</si>
  <si>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</si>
  <si>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Substituto na Intrajornada </t>
  </si>
  <si>
    <t xml:space="preserve">Submódulo 4.2 - Substituto na Intrajornada </t>
  </si>
  <si>
    <t>Por Posto (2 vigilantes)</t>
  </si>
  <si>
    <t>Por Posto (1 vigilantes)</t>
  </si>
  <si>
    <t>TIPO DE POSTO</t>
  </si>
  <si>
    <t>QTDE DE PESSOAS</t>
  </si>
  <si>
    <t>VLR POR POSTO</t>
  </si>
  <si>
    <t>VLR MÁXIMO TOTAL</t>
  </si>
  <si>
    <t>POSTO VIILANCIA ARMADA 12X36 DIURNAS - 2 VIGILANTES</t>
  </si>
  <si>
    <t>QTDE. POSTOS</t>
  </si>
  <si>
    <t>POSTO VIILANCIA ARMADA 12X36 DIURNAS - 2 VIGILANTES - MOTORIZ</t>
  </si>
  <si>
    <t>POSTO VIILANCIA ARMADA 12X36 NOTURNA - 2 VIGILANTES</t>
  </si>
  <si>
    <t>POSTO VIILANCIA ARMADA 12X36 NOTURNA MOTORIZ. - 2 VIGILANTES</t>
  </si>
  <si>
    <t>TOTAL GERAL 12 MESES</t>
  </si>
  <si>
    <t>TOTAL MENSAL</t>
  </si>
  <si>
    <t>Substituto na cobertura de Intervalo para repouso ou alimentação (tem almoço)</t>
  </si>
  <si>
    <t>PLANILHA AUXILIAR  CUSTO VEÍCULO  (MÓDULO 3:INSUMOS)</t>
  </si>
  <si>
    <t>Utilização do veíulo (dias/mês)</t>
  </si>
  <si>
    <t>COMBUSTÍVEL</t>
  </si>
  <si>
    <t>PNEUS</t>
  </si>
  <si>
    <t>ÓLEO DO MOTOR</t>
  </si>
  <si>
    <t>Consumo de combustível (KM/UN)</t>
  </si>
  <si>
    <t>Preço combustível (R$/UN)</t>
  </si>
  <si>
    <t>Valor pneu novo (R$/unid.)</t>
  </si>
  <si>
    <t>Vida útil do pneu (KM/pneu)</t>
  </si>
  <si>
    <t>Vlr Litro óleo motor         (R$ / litro)</t>
  </si>
  <si>
    <t>Tempo de troca do óleo (KM)</t>
  </si>
  <si>
    <t>QTD
P/ CONTRATO</t>
  </si>
  <si>
    <t>VLR. TOTAL MENSAL
DEPRECIAÇÃO &amp; 
MANUTENÇÃO (R$)</t>
  </si>
  <si>
    <t>RELÓGIO DE PONTO ELETRÔNICO</t>
  </si>
  <si>
    <t>CUSTO TOTAL MENSAL POR VIGILANTE (TOTAL 29 VIGILANTES) - R$</t>
  </si>
  <si>
    <t>Tonfa de Fibra (cassetete)</t>
  </si>
  <si>
    <t>Porta Tonfa (cassetete)</t>
  </si>
  <si>
    <t>Materiais (uso individual)</t>
  </si>
  <si>
    <t>Materiais (uso coletivo)</t>
  </si>
  <si>
    <t>Equipamentos (uso coletivo - Depreciação)</t>
  </si>
  <si>
    <t>Radio transmissor alcance 5KM  5 watts de potencia 16 canais (De uso exclusivo do Fiscal do Contrato). Valor será rateado pelo total de vigilantes</t>
  </si>
  <si>
    <t>CUSTO TOTAL MENSAL POR VIGILANTE (TODOS OS EQUIPAMENTOS)</t>
  </si>
  <si>
    <t>-</t>
  </si>
  <si>
    <t xml:space="preserve">Binóculos Noturno Infravermelho Profissional Militar Digital </t>
  </si>
  <si>
    <t>VLR. TOTAL MENSAL
DEPRECIAÇÃO &amp; 
MANUTENÇÃO (R$)
POSTO MOTORIZ
44 HORAS
(1 VIGILANTE)</t>
  </si>
  <si>
    <t>VLR. TOTAL MENSAL
DEPRECIAÇÃO &amp; 
MANUTENÇÃO (R$) 
POSTO 12X36 DIURNO
(2 VIGILANTES)</t>
  </si>
  <si>
    <t>VLR. TOTAL MENSAL
DEPRECIAÇÃO &amp; 
MANUTENÇÃO (R$) 
POSTO MOTORIZ 12X36 DIURNO
(2 VIGILANTES)</t>
  </si>
  <si>
    <t>VLR. TOTAL MENSAL
DEPRECIAÇÃO &amp; 
MANUTENÇÃO (R$) 
POSTO 12X36
NOTURNO
(2 VIGILANTES)</t>
  </si>
  <si>
    <t>VLR. TOTAL MENSAL
DEPRECIAÇÃO &amp; 
MANUTENÇÃO (R$) 
POSTO MOTORIZ 12X36
NOTURNO
(2 VIGILANTES)</t>
  </si>
  <si>
    <t>CUSTO TOTAL MENSAL POR VIGILANTE (POSTO 12X36 SÃO 2 VIGILANTES &amp; POSTO 44H É 1 VIGILANTE) R$</t>
  </si>
  <si>
    <r>
      <t xml:space="preserve">Placas Balísticas (Frontal &amp; Dorsal) Nível II A. 
</t>
    </r>
    <r>
      <rPr>
        <i/>
        <sz val="11"/>
        <color rgb="FF000000"/>
        <rFont val="Calibri"/>
        <family val="2"/>
        <scheme val="minor"/>
      </rPr>
      <t>(COMUM A TODOS OS POSTOS)</t>
    </r>
  </si>
  <si>
    <r>
      <t xml:space="preserve">Revólver calibre 38, com 6 tiros
</t>
    </r>
    <r>
      <rPr>
        <i/>
        <sz val="11"/>
        <color rgb="FF000000"/>
        <rFont val="Calibri"/>
        <family val="2"/>
        <scheme val="minor"/>
      </rPr>
      <t>(COMUM A TODOS OS POSTOS)</t>
    </r>
  </si>
  <si>
    <r>
      <t xml:space="preserve">Radio transmissor alcance 5KM  5 watts de potencia 16 canais
</t>
    </r>
    <r>
      <rPr>
        <i/>
        <sz val="11"/>
        <color rgb="FF000000"/>
        <rFont val="Calibri"/>
        <family val="2"/>
        <scheme val="minor"/>
      </rPr>
      <t>(COMUM A TODOS OS POSTOS)</t>
    </r>
  </si>
  <si>
    <r>
      <t xml:space="preserve">Lanterna tática, LED, corpo em alumínio, com clip, zoom, strobo, coldre, sinalizador noturno para rosquear na ponta da lanterna, recarregável.
</t>
    </r>
    <r>
      <rPr>
        <i/>
        <sz val="11"/>
        <color rgb="FF000000"/>
        <rFont val="Calibri"/>
        <family val="2"/>
        <scheme val="minor"/>
      </rPr>
      <t>(USO EXCLUSIVO POSTOS NOTURNOS)</t>
    </r>
  </si>
  <si>
    <r>
      <t xml:space="preserve">MOTO NXR 160 BROS ESDD (ANO NÃO INFERIOR A 2017)
</t>
    </r>
    <r>
      <rPr>
        <i/>
        <sz val="11"/>
        <color rgb="FF000000"/>
        <rFont val="Calibri"/>
        <family val="2"/>
        <scheme val="minor"/>
      </rPr>
      <t>(USO EXCLUSIVO POSTOS MOTORIZADOS)</t>
    </r>
  </si>
  <si>
    <t>MATERIAIS DE USO COLETIVO (PADRÃO PARA TODOS OS POSTOS)</t>
  </si>
  <si>
    <t>MATERIAIS DE USO COLETIVO (EXCLUSIVO P/ POSTOS SEM MOTO DIURNO/NOTURNO)</t>
  </si>
  <si>
    <t>MATERIAIS &amp; COMPLEMENTOS (PADRÃO P/ TODOS OS POSTOS - USO INDIVIDUAL)</t>
  </si>
  <si>
    <t>RELAÇÃO DE UNIFORMES (PADRÃO P/ TODOS OS POSTOS)</t>
  </si>
  <si>
    <t>8470.21</t>
  </si>
  <si>
    <t>CÁLCULO DA DEPRECIAÇÃO DOS EQUIPAMENTOS PARA RATEAR ENTRE TODOS OS 29 VIGILANTES</t>
  </si>
  <si>
    <t>CÁLCULO DA DEPRECIAÇÃO DOS EQUIPAMENTOS USO COLETIVO (POR POSTO)</t>
  </si>
  <si>
    <t>VIDA ÚTIL
ANOS</t>
  </si>
  <si>
    <r>
      <t xml:space="preserve">Equipamento Eletrônico Controlador de Ronda,  contendo 6 pontos (Ibottons) em cada posto de trabalho indicado pela Fiscalização. 
</t>
    </r>
    <r>
      <rPr>
        <i/>
        <sz val="11"/>
        <color rgb="FF000000"/>
        <rFont val="Calibri"/>
        <family val="2"/>
        <scheme val="minor"/>
      </rPr>
      <t>(USO EXCLUSIVO POSTOS MOTORIZADOS)</t>
    </r>
  </si>
  <si>
    <t>MOTO NXR 160 BROS (ANO NÃO INFERIOR A 2017)</t>
  </si>
  <si>
    <t>QUADRO FORMATADO PARA COLAGEM NO TERMO DE REFERÊNCIA</t>
  </si>
  <si>
    <t>DESCRIÇÃO DO VEÍCULO:</t>
  </si>
  <si>
    <t>KM</t>
  </si>
  <si>
    <t>X</t>
  </si>
  <si>
    <t>35X</t>
  </si>
  <si>
    <t>Consumo de combustível por dia (LITROS)</t>
  </si>
  <si>
    <t>Gasto Estimado por dia (R$)</t>
  </si>
  <si>
    <t>Quantidade de pneus
(ANUAL)</t>
  </si>
  <si>
    <t>PNEU</t>
  </si>
  <si>
    <t>25000X</t>
  </si>
  <si>
    <t>PREÇO GASOL</t>
  </si>
  <si>
    <t>GASTO DIA</t>
  </si>
  <si>
    <t>GASTO MÊS</t>
  </si>
  <si>
    <t>PREÇO PNEU</t>
  </si>
  <si>
    <t>Consumo de pneu por dia</t>
  </si>
  <si>
    <t>Gasto Estimado por mês (R$)</t>
  </si>
  <si>
    <t>X 2 PNEUS</t>
  </si>
  <si>
    <t>ÓLEO</t>
  </si>
  <si>
    <t>LITRO GASOL</t>
  </si>
  <si>
    <t>PREÇO ÓLEO</t>
  </si>
  <si>
    <t>Média Consumo de óleo por dia (L)</t>
  </si>
  <si>
    <t>CONS. DIA</t>
  </si>
  <si>
    <t>6000X</t>
  </si>
  <si>
    <t>22 DIAS</t>
  </si>
  <si>
    <t>100 KM/DIA</t>
  </si>
  <si>
    <t>Outros gastos de manutenção (R$/MÊS)</t>
  </si>
  <si>
    <t>CUSTO TOTAL MENSAL R$ 442,95</t>
  </si>
  <si>
    <t>TOTAL MÊS</t>
  </si>
  <si>
    <t>KM a rodar (Média Diária)</t>
  </si>
  <si>
    <t>COTAÇÃO CUSTO ADMINISTRAÇÃO</t>
  </si>
  <si>
    <t>POSTO VIILANCIA ARMADA 44 HS MOTORIZ. DIURNA 1 VIGILANTE</t>
  </si>
  <si>
    <t>OBS: AS PLANILHAS DETALHADAS POR POSTO CONSTAM NO "ANEXO C" DO TERMO DE REFERÊNCIA (TABELAS 1 A 13)</t>
  </si>
  <si>
    <t>Salário-Base 1.246,32 + (10% condutor de carro leve) 124,63 = 1.370,95</t>
  </si>
  <si>
    <t>Adicional de Periculosidade (30% de 1.246,32- Cláusula 68ª CCT)</t>
  </si>
  <si>
    <t>Adicional de Periculosidade (30% de 1.370,95- Cláusula 68ª CCT)</t>
  </si>
  <si>
    <t>Adicional Noturno (Conforme anexo I CCT 2019)</t>
  </si>
  <si>
    <t>Adicional de Hora Noturna Reduzida (Conforme anexo I CCT 2019)</t>
  </si>
  <si>
    <t>Adicional Noturno  (Conforme anexo I CCT 2019)</t>
  </si>
  <si>
    <t>Adicional de Hora Noturna Reduzida  (Conforme anexo I CCT 2019)</t>
  </si>
  <si>
    <t>Auxílio-Refeição/Alimentação (22,00 x 15 dias 330,00 - 5% 16,50 = 313,50)</t>
  </si>
  <si>
    <t>Auxilio saúde (conf. CCT Paragrafos 3º e 6º da Cláusula vigésima 91,81-1,00)</t>
  </si>
  <si>
    <t>13º (décimo terceiro Sálario) 1.620,22 / 12 = 135,02</t>
  </si>
  <si>
    <t>Transporte (1.246,32x50%x6%=37,38) (3,80x2=7,60x15=114) (114-37,38=76,61)</t>
  </si>
  <si>
    <t>Transporte (1.370,95x6%=82,25) (3,80x2=7,60x22=167,20) (167,20-82,25=84,94)</t>
  </si>
  <si>
    <t>13º (décimo terceiro) Salário, Férias e Adicional de Férias (total do submódulo 2.1)</t>
  </si>
  <si>
    <t>GPS, FGTS e outras contribuições (total do submódulo 2.2)</t>
  </si>
  <si>
    <t>Benefícios Mensais e Diários  (total do submódulo 2.3)</t>
  </si>
  <si>
    <t>Incidência do FGTS sobre o Aviso Prévio Indenizado (174,17x8%=13,93)</t>
  </si>
  <si>
    <t>Multa do FGTS e contribuição social sobre o Aviso Prévio Indenizado (13,93x50%=6,93)</t>
  </si>
  <si>
    <t>36.80%</t>
  </si>
  <si>
    <t>Cálculo: (Incidência anual x duração legal da ausência) x proporção de dias afetados</t>
  </si>
  <si>
    <t>Categoria</t>
  </si>
  <si>
    <t>Incidência Anual</t>
  </si>
  <si>
    <t>Duração Legal Da Ausência</t>
  </si>
  <si>
    <t>Proporção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</si>
  <si>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</si>
  <si>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</si>
  <si>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</si>
  <si>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</si>
  <si>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</si>
  <si>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</si>
  <si>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</si>
  <si>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</si>
  <si>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</si>
  <si>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</si>
  <si>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</si>
  <si>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</si>
  <si>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</si>
  <si>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12/36 horas semais</t>
  </si>
  <si>
    <t>Substituto na cobertura de Licença-Paternidade</t>
  </si>
  <si>
    <t>Multa do FGTS e contribuição social sobre o Aviso Prévio Trabalhado (51,48x8%= 4,11x50%=2,06)</t>
  </si>
  <si>
    <t>Férias e Adicional de Férias (Férias 1.620,22 / 12=135,02) (Adicional 1.620,22 / 3 = 540,07 / 12=45,00) ((45+ 135,02=180,02)</t>
  </si>
  <si>
    <t>Auxilio saúde (conf. CCT Paragrafos 3º e 6º da Cláusula vigésima (91,81-1,00=90,81)</t>
  </si>
  <si>
    <t>Incidência de INSS e outras contribuições sobre o Aviso Prévio Trabalhado (51,48x36,80%= 18,94)</t>
  </si>
  <si>
    <t>Aviso Prévio Trabalhado (Refere-se à indenização de sete dias corridos devida ao empregado no caso de o empregador rescindir o contrato sem justo motivo e conceder aviso prévio, conforme disposto no art. 488 da CLT. (M1+2.1+2.2/30x7/12)      1.620,22+315,04+712,17=2.647,43/30=88,24x7=617,73/12=51,48)</t>
  </si>
  <si>
    <t>12/36 diurno motorizado</t>
  </si>
  <si>
    <t>3ª PLANILHA 44 HORAS</t>
  </si>
  <si>
    <t xml:space="preserve">5ª PLANILHA </t>
  </si>
  <si>
    <t>4ª PLANILHA</t>
  </si>
  <si>
    <t>13º (décimo terceiro) Salário (1.782,24/12=148,52)</t>
  </si>
  <si>
    <t>Férias e Adicional de Férias  (Férias - 1.782,24/12=148,52) (Adicional 148,52/3=49,50) (148,52+49,50=198,03)</t>
  </si>
  <si>
    <t>Transporte (SB 1.370,95x50%x6%=41,12) (3,80x2=7,60x15=114) (114-41,12=72,87)</t>
  </si>
  <si>
    <t>13º (décimo terceiro) Salário, Férias e Adicional de Férias (Total do submódulo 2.1)</t>
  </si>
  <si>
    <t>GPS, FGTS e outras contribuições (Total do submódulo 2.2)</t>
  </si>
  <si>
    <t>Benefícios Mensais e Diários (Total do submódulo 2.3)</t>
  </si>
  <si>
    <t>Incidência do FGTS sobre o Aviso Prévio Indenizado (191,59x8%=15,33)</t>
  </si>
  <si>
    <t>Multa do FGTS e contribuição social sobre o Aviso Prévio Indenizado 15,333x50%=7,66)</t>
  </si>
  <si>
    <t>Aviso Prévio Trabalhado (Refere-se à indenização de sete dias corridos devida ao empregado no caso de o empregador rescindir o contrato sem justo motivo e conceder aviso prévio, conforme disposto no art. 488 da CLT. (M1+2.1+2.2/30x7/12)      1.782,24+346,55+783,39=2.912,18/30=97,07x7=679,50/12=56,63)</t>
  </si>
  <si>
    <t>Multa do FGTS e contribuição social sobre o Aviso Prévio Trabalhado  (56,63x8%= 4,53x50%=2,27)</t>
  </si>
  <si>
    <t>Substituto nas Ausências Legais (total submódulo 4.1)</t>
  </si>
  <si>
    <t>Substituto na Intrajornada (total submódulo 4.2)</t>
  </si>
  <si>
    <t>Substituto na cobertura de Intervalo para repouso ou alimentação  (média conf. Tabela CCT ) (189,87+202,53=392,40/2=196,20)</t>
  </si>
  <si>
    <t>Substituto na cobertura de Intervalo para repouso ou alimentação  (média conf. Tabela CCT ) (213,60+229,53=443,13/2=221,56)</t>
  </si>
  <si>
    <t>Substituto na cobertura de Intervalo para repouso ou alimentação (média conf. Tabela CCT ) (213,60+229,53=443,13/2=221,56)</t>
  </si>
  <si>
    <t>13º (décimo terceiro) Salário (2.036,38/12=169,70)</t>
  </si>
  <si>
    <t>13º (décimo terceiro) Salário  (1.782,24/12=148,52)</t>
  </si>
  <si>
    <t>Auxílio-Refeição/Alimentação  (22,00 x 22 dias 484,00 - 5% 24,20 = 459,80)</t>
  </si>
  <si>
    <t>Incidência de GPS, FGTS e outras contribuições sobre o Aviso Prévio Trabalhado 56,63x36,80%= 20,84)</t>
  </si>
  <si>
    <t>Férias e Adicional de Férias (Férias 2.036,38/12=169,70) (Adicional 2.036,38/3=678,79/12=56,56+169,70)</t>
  </si>
  <si>
    <t>Transporte (1.246,32x50%x6%=37,39) (3,80x2=7,60x15=114,00) (114,00-37,39=76,61)</t>
  </si>
  <si>
    <t>Incidência do FGTS sobre o Aviso Prévio Indenizado (218,91x8%=17,51)</t>
  </si>
  <si>
    <t>Multa do FGTS e contribuição social sobre o Aviso Prévio Indenizado 15,33x50%=7,66)</t>
  </si>
  <si>
    <t>Multa do FGTS e contribuição social sobre o Aviso Prévio Indenizado (17,51x50%=8,76</t>
  </si>
  <si>
    <t>Aviso Prévio Trabalhado (Refere-se à indenização de sete dias corridos devida ao empregado no caso de o empregador rescindir o contrato sem justo motivo e conceder aviso prévio, conforme disposto no art. 488 da CLT. (M1+2.1+2.2/30x7/12)  (2.036,38+395,96+895,10=3.327,44=110,91*/7=776,40/12=64,70</t>
  </si>
  <si>
    <t>Incidência de GPS, FGTS e outras contribuições sobre o Aviso Prévio Trabalhado 64,70x36,80%= 23,81)</t>
  </si>
  <si>
    <t>Multa do FGTS e contribuição social sobre o Aviso Prévio Trabalhado  (64,70x8%= 5,17x50%=2,59)</t>
  </si>
  <si>
    <t>13º (décimo terceiro) Salário (2.198,40/12=183,20)</t>
  </si>
  <si>
    <t>Férias e Adicional de Férias 2.198,40/3=732,8/12=61,06 (183,20+61,06=244,27)</t>
  </si>
  <si>
    <t>Benefícios Mensais e Diários (total do submódulo 2.3)</t>
  </si>
  <si>
    <t>Incidência do FGTS sobre o Aviso Prévio Indenizado (236,33x8%=18,91)</t>
  </si>
  <si>
    <t>Multa do FGTS e contribuição social sobre o Aviso Prévio Indenizado (18,91x50%=9,45)</t>
  </si>
  <si>
    <t>Aviso Prévio Trabalhado (Refere-se à indenização de sete dias corridos devida ao empregado no caso de o empregador rescindir o contrato sem justo motivo e conceder aviso prévio, conforme disposto no art. 488 da CLT. (M1+2.1+2.2/30x7/12)      (2.198,40+427,47+966,32=3.592,19/30=119,73*7=838,17,71/12=69,85</t>
  </si>
  <si>
    <t>Incidência de GPS, FGTS e outras contribuições sobre o Aviso Prévio Trabalhado o (69,85x36,80%= 25,70)</t>
  </si>
  <si>
    <t>Multa do FGTS e contribuição social sobre o Aviso Prévio Trabalhado  (69,85x8%= 5,58x50%=2,79)</t>
  </si>
  <si>
    <t>PLANILHA CONFORME PORTAL DE COMPRAS. DISPONÍVEL EM: https://www.comprasgovernamentais.gov.br/index.php/noticias/942-planilha-noticia</t>
  </si>
  <si>
    <t>Discriminação dos Serviços</t>
  </si>
  <si>
    <t>Nº PROCESSO:</t>
  </si>
  <si>
    <t>LICITAÇÃO Nº:</t>
  </si>
  <si>
    <t>DIA: XX / XX / 2019 ÀS 00:00h</t>
  </si>
  <si>
    <t>Data de apresentação da proposta</t>
  </si>
  <si>
    <t>Município</t>
  </si>
  <si>
    <t>Nº de meses de execução contratual</t>
  </si>
  <si>
    <t>Convenção Coletiva de Trabalho (CCT Nº)</t>
  </si>
  <si>
    <t>Identificação do Serviço</t>
  </si>
  <si>
    <t>Tipo de Serviço</t>
  </si>
  <si>
    <t>Posto de Serviço</t>
  </si>
  <si>
    <t>Vigilância
Armada</t>
  </si>
  <si>
    <t>Unidade de Medida</t>
  </si>
  <si>
    <t>Dados para composição dos custos referentes à mão-de-obra</t>
  </si>
  <si>
    <t>Tipo de Posto (mesmo serviço com características distintas)</t>
  </si>
  <si>
    <t>VIGILÂNCIA ARMADA 12X36H DIURNA</t>
  </si>
  <si>
    <t>Classificação Brasileira de Ocupações (CBO)</t>
  </si>
  <si>
    <t>Salário Nominativo da Categoria Profissional</t>
  </si>
  <si>
    <t>Categoria profissional (vinculada à execução contratual)</t>
  </si>
  <si>
    <t>Data base da categoria (dia/mês/ano)</t>
  </si>
  <si>
    <t>5173-30</t>
  </si>
  <si>
    <t>Vigilante</t>
  </si>
  <si>
    <t>xx / xx / 2019</t>
  </si>
  <si>
    <t>Manaus/AM</t>
  </si>
  <si>
    <t>AM000145/2019</t>
  </si>
  <si>
    <t>Data de Registro no M T E</t>
  </si>
  <si>
    <t>01º/fev/2019</t>
  </si>
  <si>
    <t>Quantidade total a contratar (conf. unidade de medida)</t>
  </si>
  <si>
    <r>
      <t xml:space="preserve">Aviso Prévio Indenizado (total do módulo 1+ total submódulo 2.1+ total submódulo 2.2 H) / 12. (1.620,22+315,04+154,82=2.090,08/12=174,17). </t>
    </r>
    <r>
      <rPr>
        <sz val="11"/>
        <color rgb="FFFF0000"/>
        <rFont val="Calibri"/>
        <family val="2"/>
        <scheme val="minor"/>
      </rPr>
      <t>Sem incidência dos encargos previdenciários.</t>
    </r>
  </si>
  <si>
    <t>VIGILÂNCIA ARMADA 12X36H DIURNA COM MOTO</t>
  </si>
  <si>
    <t>QUADRO DEMONSTRATIVO DO VALOR GLOBAL DA PROPOSTA</t>
  </si>
  <si>
    <t>Descrição</t>
  </si>
  <si>
    <t xml:space="preserve">Valor proposto por unidade de medida </t>
  </si>
  <si>
    <t xml:space="preserve">Valor mensal do serviço (Qtde. Posto X Vlr. Posto) </t>
  </si>
  <si>
    <t>Valor Anual do serviço (Vlr. Mensal x 12 meses)</t>
  </si>
  <si>
    <r>
      <t xml:space="preserve">Aviso Prévio Indenizado (total do módulo 1+ total submódulo 2.1+ total submódulo 2.2 H) / 12. (1.782,24+346,55+170,30=2.299,09/12=191,59). </t>
    </r>
    <r>
      <rPr>
        <sz val="11"/>
        <color rgb="FFFF0000"/>
        <rFont val="Calibri"/>
        <family val="2"/>
        <scheme val="minor"/>
      </rPr>
      <t xml:space="preserve"> Sem incidência dos encargos previdenciários.</t>
    </r>
  </si>
  <si>
    <t>VIGILÂNCIA ARMADA 44H DIURNA COM MOTO</t>
  </si>
  <si>
    <t>VIGILÂNCIA ARMADA 12X36H NOTURNA</t>
  </si>
  <si>
    <r>
      <t xml:space="preserve">Aviso Prévio Indenizado (total do módulo 1+ total submódulo 2.1+ total submódulo 2.2 H) / 12. (2.036,38+395,96+194,59=2.631,93/12=218,91). </t>
    </r>
    <r>
      <rPr>
        <sz val="11"/>
        <color rgb="FFFF0000"/>
        <rFont val="Calibri"/>
        <family val="2"/>
        <scheme val="minor"/>
      </rPr>
      <t>Sem incidência dos encargos previdenciários.</t>
    </r>
  </si>
  <si>
    <r>
      <t xml:space="preserve">Aviso Prévio Indenizado (total do módulo 1+ total submódulo 2.1+ total submódulo 2.2 H) / 12. (1.782,24+346,55+170,30=2.299,09/12=191,59). </t>
    </r>
    <r>
      <rPr>
        <sz val="11"/>
        <color rgb="FFFF0000"/>
        <rFont val="Calibri"/>
        <family val="2"/>
        <scheme val="minor"/>
      </rPr>
      <t>Sem incidência dos encargos previdenciários.</t>
    </r>
  </si>
  <si>
    <r>
      <t xml:space="preserve">Aviso Prévio Indenizado (total do módulo 1+ total submódulo 2.1+ total submódulo 2.2 H) / 12. (2.198,40+427,47+210,07=2.835,94/12=236,33). </t>
    </r>
    <r>
      <rPr>
        <sz val="11"/>
        <color rgb="FFFF0000"/>
        <rFont val="Calibri"/>
        <family val="2"/>
        <scheme val="minor"/>
      </rPr>
      <t>Sem incidência dos encargos previdenciários.</t>
    </r>
  </si>
  <si>
    <t>VIGILÂNCIA ARMADA 12X36H NOTURNA COM MOTO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</si>
</sst>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_(* #,##0.00_);_(* \(#,##0.00\);_(* &quot;-&quot;??_);_(@_)"/>
    <numFmt numFmtId="166" formatCode="&quot;R$&quot;\ #,##0.00"/>
    <numFmt numFmtId="167" formatCode="&quot;R$ &quot;#,##0.00_);[Red]\(&quot;R$ &quot;#,##0.00\)"/>
    <numFmt numFmtId="168" formatCode="0.000"/>
    <numFmt numFmtId="169" formatCode="#,##0.000;[Red]\-#,##0.000"/>
    <numFmt numFmtId="170" formatCode="_-* #,##0.0000_-;\-* #,##0.0000_-;_-* &quot;-&quot;??_-;_-@_-"/>
    <numFmt numFmtId="171" formatCode="_(&quot;R$ &quot;* #,##0.00_);_(&quot;R$ &quot;* \(#,##0.00\);_(&quot;R$ &quot;* &quot;-&quot;??_);_(@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2" applyNumberFormat="0" applyAlignment="0" applyProtection="0"/>
    <xf numFmtId="0" fontId="11" fillId="7" borderId="13" applyNumberFormat="0" applyAlignment="0" applyProtection="0"/>
    <xf numFmtId="0" fontId="12" fillId="7" borderId="12" applyNumberFormat="0" applyAlignment="0" applyProtection="0"/>
    <xf numFmtId="0" fontId="13" fillId="0" borderId="14" applyNumberFormat="0" applyFill="0" applyAlignment="0" applyProtection="0"/>
    <xf numFmtId="0" fontId="14" fillId="8" borderId="15" applyNumberFormat="0" applyAlignment="0" applyProtection="0"/>
    <xf numFmtId="0" fontId="15" fillId="0" borderId="0" applyNumberFormat="0" applyFill="0" applyBorder="0" applyAlignment="0" applyProtection="0"/>
    <xf numFmtId="0" fontId="1" fillId="9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71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5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67">
    <xf numFmtId="0" fontId="0" fillId="0" borderId="0" xfId="0"/>
    <xf numFmtId="166" fontId="20" fillId="37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8" fontId="21" fillId="39" borderId="1" xfId="0" applyNumberFormat="1" applyFont="1" applyFill="1" applyBorder="1" applyAlignment="1">
      <alignment horizontal="center" vertical="center"/>
    </xf>
    <xf numFmtId="8" fontId="21" fillId="0" borderId="1" xfId="0" applyNumberFormat="1" applyFont="1" applyBorder="1" applyAlignment="1">
      <alignment horizontal="center" vertical="center"/>
    </xf>
    <xf numFmtId="8" fontId="21" fillId="40" borderId="1" xfId="0" applyNumberFormat="1" applyFont="1" applyFill="1" applyBorder="1" applyAlignment="1">
      <alignment horizontal="center" vertical="center"/>
    </xf>
    <xf numFmtId="166" fontId="21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22" fillId="39" borderId="1" xfId="0" applyFont="1" applyFill="1" applyBorder="1" applyAlignment="1">
      <alignment vertical="center" wrapText="1"/>
    </xf>
    <xf numFmtId="166" fontId="21" fillId="0" borderId="1" xfId="0" applyNumberFormat="1" applyFont="1" applyFill="1" applyBorder="1" applyAlignment="1">
      <alignment horizontal="center" vertical="center"/>
    </xf>
    <xf numFmtId="0" fontId="23" fillId="41" borderId="1" xfId="0" applyFont="1" applyFill="1" applyBorder="1" applyAlignment="1">
      <alignment horizontal="center" vertical="center" wrapText="1"/>
    </xf>
    <xf numFmtId="0" fontId="23" fillId="41" borderId="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166" fontId="20" fillId="37" borderId="20" xfId="0" applyNumberFormat="1" applyFont="1" applyFill="1" applyBorder="1" applyAlignment="1">
      <alignment horizontal="center" vertical="center"/>
    </xf>
    <xf numFmtId="0" fontId="20" fillId="37" borderId="20" xfId="0" applyFont="1" applyFill="1" applyBorder="1" applyAlignment="1">
      <alignment horizontal="center" vertical="center"/>
    </xf>
    <xf numFmtId="0" fontId="20" fillId="37" borderId="19" xfId="0" applyFont="1" applyFill="1" applyBorder="1" applyAlignment="1">
      <alignment horizontal="center" vertical="center"/>
    </xf>
    <xf numFmtId="166" fontId="20" fillId="37" borderId="19" xfId="0" applyNumberFormat="1" applyFont="1" applyFill="1" applyBorder="1" applyAlignment="1">
      <alignment horizontal="center" vertical="center"/>
    </xf>
    <xf numFmtId="0" fontId="20" fillId="37" borderId="8" xfId="0" applyFont="1" applyFill="1" applyBorder="1" applyAlignment="1">
      <alignment horizontal="justify" vertical="center"/>
    </xf>
    <xf numFmtId="0" fontId="22" fillId="0" borderId="1" xfId="0" applyFont="1" applyBorder="1" applyAlignment="1">
      <alignment vertical="center"/>
    </xf>
    <xf numFmtId="166" fontId="0" fillId="0" borderId="0" xfId="0" applyNumberFormat="1" applyFont="1" applyAlignment="1">
      <alignment vertical="center"/>
    </xf>
    <xf numFmtId="0" fontId="21" fillId="0" borderId="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justify" vertical="center"/>
    </xf>
    <xf numFmtId="166" fontId="21" fillId="0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justify" vertical="center"/>
    </xf>
    <xf numFmtId="166" fontId="0" fillId="0" borderId="0" xfId="0" applyNumberFormat="1"/>
    <xf numFmtId="0" fontId="0" fillId="0" borderId="0" xfId="0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/>
    <xf numFmtId="44" fontId="21" fillId="0" borderId="1" xfId="0" applyNumberFormat="1" applyFont="1" applyBorder="1" applyAlignment="1">
      <alignment horizontal="center" vertical="center"/>
    </xf>
    <xf numFmtId="0" fontId="26" fillId="40" borderId="1" xfId="0" applyFont="1" applyFill="1" applyBorder="1" applyAlignment="1">
      <alignment horizontal="justify" vertical="center"/>
    </xf>
    <xf numFmtId="0" fontId="22" fillId="0" borderId="1" xfId="0" applyFont="1" applyFill="1" applyBorder="1" applyAlignment="1">
      <alignment vertical="center"/>
    </xf>
    <xf numFmtId="8" fontId="0" fillId="0" borderId="0" xfId="0" applyNumberFormat="1"/>
    <xf numFmtId="0" fontId="24" fillId="40" borderId="1" xfId="0" applyFont="1" applyFill="1" applyBorder="1" applyAlignment="1">
      <alignment horizontal="justify" vertical="center"/>
    </xf>
    <xf numFmtId="9" fontId="21" fillId="0" borderId="1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4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9" fontId="21" fillId="0" borderId="1" xfId="0" applyNumberFormat="1" applyFont="1" applyBorder="1" applyAlignment="1">
      <alignment horizontal="center" vertical="center"/>
    </xf>
    <xf numFmtId="0" fontId="35" fillId="0" borderId="0" xfId="0" applyFont="1"/>
    <xf numFmtId="166" fontId="36" fillId="44" borderId="1" xfId="0" applyNumberFormat="1" applyFont="1" applyFill="1" applyBorder="1" applyAlignment="1">
      <alignment horizontal="center" vertical="center"/>
    </xf>
    <xf numFmtId="0" fontId="22" fillId="39" borderId="1" xfId="0" applyFont="1" applyFill="1" applyBorder="1" applyAlignment="1">
      <alignment horizontal="justify" vertical="center" wrapText="1"/>
    </xf>
    <xf numFmtId="0" fontId="20" fillId="41" borderId="2" xfId="0" applyFont="1" applyFill="1" applyBorder="1" applyAlignment="1">
      <alignment horizontal="center" vertical="center" wrapText="1"/>
    </xf>
    <xf numFmtId="166" fontId="24" fillId="41" borderId="2" xfId="0" applyNumberFormat="1" applyFont="1" applyFill="1" applyBorder="1" applyAlignment="1">
      <alignment horizontal="center" vertical="center" wrapText="1"/>
    </xf>
    <xf numFmtId="0" fontId="27" fillId="42" borderId="21" xfId="0" applyFont="1" applyFill="1" applyBorder="1" applyAlignment="1">
      <alignment horizontal="center" vertical="center" wrapText="1"/>
    </xf>
    <xf numFmtId="0" fontId="27" fillId="42" borderId="21" xfId="0" applyFont="1" applyFill="1" applyBorder="1" applyAlignment="1">
      <alignment horizontal="center" vertical="center"/>
    </xf>
    <xf numFmtId="166" fontId="20" fillId="41" borderId="2" xfId="0" applyNumberFormat="1" applyFont="1" applyFill="1" applyBorder="1" applyAlignment="1">
      <alignment horizontal="center" vertical="center" wrapText="1"/>
    </xf>
    <xf numFmtId="0" fontId="23" fillId="37" borderId="1" xfId="0" applyFont="1" applyFill="1" applyBorder="1" applyAlignment="1">
      <alignment horizontal="center" vertical="center" wrapText="1"/>
    </xf>
    <xf numFmtId="0" fontId="38" fillId="0" borderId="0" xfId="0" applyFont="1"/>
    <xf numFmtId="0" fontId="39" fillId="0" borderId="0" xfId="0" applyFont="1"/>
    <xf numFmtId="168" fontId="0" fillId="0" borderId="0" xfId="0" applyNumberFormat="1" applyAlignment="1">
      <alignment horizontal="center"/>
    </xf>
    <xf numFmtId="0" fontId="15" fillId="0" borderId="0" xfId="0" applyFont="1" applyAlignment="1"/>
    <xf numFmtId="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19" xfId="0" applyBorder="1"/>
    <xf numFmtId="0" fontId="0" fillId="0" borderId="8" xfId="0" applyBorder="1" applyAlignment="1">
      <alignment horizontal="center"/>
    </xf>
    <xf numFmtId="167" fontId="0" fillId="0" borderId="20" xfId="0" applyNumberFormat="1" applyBorder="1" applyAlignment="1">
      <alignment horizontal="center"/>
    </xf>
    <xf numFmtId="167" fontId="0" fillId="0" borderId="19" xfId="0" applyNumberFormat="1" applyBorder="1" applyAlignment="1">
      <alignment horizontal="center"/>
    </xf>
    <xf numFmtId="0" fontId="40" fillId="37" borderId="8" xfId="0" applyFont="1" applyFill="1" applyBorder="1"/>
    <xf numFmtId="0" fontId="40" fillId="0" borderId="0" xfId="0" applyFont="1" applyFill="1" applyBorder="1" applyAlignment="1" applyProtection="1">
      <alignment horizontal="left" vertical="center" wrapText="1"/>
      <protection locked="0"/>
    </xf>
    <xf numFmtId="0" fontId="41" fillId="0" borderId="1" xfId="0" applyFont="1" applyFill="1" applyBorder="1" applyAlignment="1" applyProtection="1">
      <alignment horizontal="center" vertical="center" wrapText="1"/>
    </xf>
    <xf numFmtId="38" fontId="42" fillId="43" borderId="1" xfId="53" applyNumberFormat="1" applyFont="1" applyFill="1" applyBorder="1" applyAlignment="1" applyProtection="1">
      <alignment horizontal="center" vertical="center"/>
      <protection locked="0"/>
    </xf>
    <xf numFmtId="169" fontId="42" fillId="43" borderId="1" xfId="53" applyNumberFormat="1" applyFont="1" applyFill="1" applyBorder="1" applyAlignment="1" applyProtection="1">
      <alignment horizontal="center" vertical="center"/>
      <protection locked="0"/>
    </xf>
    <xf numFmtId="167" fontId="42" fillId="43" borderId="1" xfId="53" applyNumberFormat="1" applyFont="1" applyFill="1" applyBorder="1" applyAlignment="1" applyProtection="1">
      <alignment horizontal="center" vertical="center"/>
      <protection locked="0"/>
    </xf>
    <xf numFmtId="38" fontId="42" fillId="43" borderId="2" xfId="53" applyNumberFormat="1" applyFont="1" applyFill="1" applyBorder="1" applyAlignment="1" applyProtection="1">
      <alignment horizontal="center" vertical="center"/>
      <protection locked="0"/>
    </xf>
    <xf numFmtId="169" fontId="42" fillId="43" borderId="2" xfId="53" applyNumberFormat="1" applyFont="1" applyFill="1" applyBorder="1" applyAlignment="1" applyProtection="1">
      <alignment horizontal="center" vertical="center"/>
      <protection locked="0"/>
    </xf>
    <xf numFmtId="167" fontId="42" fillId="43" borderId="23" xfId="53" applyNumberFormat="1" applyFont="1" applyFill="1" applyBorder="1" applyAlignment="1" applyProtection="1">
      <alignment horizontal="center" vertical="center"/>
      <protection locked="0"/>
    </xf>
    <xf numFmtId="167" fontId="42" fillId="43" borderId="2" xfId="53" applyNumberFormat="1" applyFont="1" applyFill="1" applyBorder="1" applyAlignment="1" applyProtection="1">
      <alignment horizontal="center" vertical="center"/>
      <protection locked="0"/>
    </xf>
    <xf numFmtId="38" fontId="42" fillId="43" borderId="3" xfId="53" applyNumberFormat="1" applyFont="1" applyFill="1" applyBorder="1" applyAlignment="1" applyProtection="1">
      <alignment horizontal="center" vertical="center"/>
      <protection locked="0"/>
    </xf>
    <xf numFmtId="169" fontId="42" fillId="43" borderId="24" xfId="53" applyNumberFormat="1" applyFont="1" applyFill="1" applyBorder="1" applyAlignment="1" applyProtection="1">
      <alignment horizontal="center" vertical="center"/>
      <protection locked="0"/>
    </xf>
    <xf numFmtId="167" fontId="42" fillId="43" borderId="3" xfId="53" applyNumberFormat="1" applyFont="1" applyFill="1" applyBorder="1" applyAlignment="1" applyProtection="1">
      <alignment horizontal="center" vertical="center"/>
      <protection locked="0"/>
    </xf>
    <xf numFmtId="166" fontId="40" fillId="0" borderId="1" xfId="0" applyNumberFormat="1" applyFont="1" applyFill="1" applyBorder="1" applyAlignment="1" applyProtection="1">
      <alignment horizontal="centerContinuous" vertical="center"/>
    </xf>
    <xf numFmtId="0" fontId="43" fillId="37" borderId="20" xfId="0" applyFont="1" applyFill="1" applyBorder="1"/>
    <xf numFmtId="0" fontId="44" fillId="37" borderId="22" xfId="0" applyFont="1" applyFill="1" applyBorder="1" applyAlignment="1">
      <alignment horizontal="centerContinuous"/>
    </xf>
    <xf numFmtId="0" fontId="43" fillId="37" borderId="25" xfId="0" applyFont="1" applyFill="1" applyBorder="1" applyAlignment="1">
      <alignment horizontal="centerContinuous"/>
    </xf>
    <xf numFmtId="0" fontId="45" fillId="37" borderId="25" xfId="0" applyFont="1" applyFill="1" applyBorder="1" applyAlignment="1">
      <alignment horizontal="centerContinuous"/>
    </xf>
    <xf numFmtId="0" fontId="45" fillId="37" borderId="26" xfId="0" applyFont="1" applyFill="1" applyBorder="1" applyAlignment="1">
      <alignment horizontal="centerContinuous"/>
    </xf>
    <xf numFmtId="0" fontId="45" fillId="0" borderId="0" xfId="0" applyFont="1"/>
    <xf numFmtId="0" fontId="43" fillId="0" borderId="0" xfId="0" applyFont="1"/>
    <xf numFmtId="0" fontId="44" fillId="37" borderId="8" xfId="0" applyFont="1" applyFill="1" applyBorder="1" applyAlignment="1">
      <alignment horizontal="centerContinuous"/>
    </xf>
    <xf numFmtId="0" fontId="43" fillId="37" borderId="19" xfId="0" applyFont="1" applyFill="1" applyBorder="1" applyAlignment="1">
      <alignment horizontal="centerContinuous"/>
    </xf>
    <xf numFmtId="0" fontId="45" fillId="37" borderId="19" xfId="0" applyFont="1" applyFill="1" applyBorder="1" applyAlignment="1">
      <alignment horizontal="centerContinuous"/>
    </xf>
    <xf numFmtId="0" fontId="45" fillId="37" borderId="20" xfId="0" applyFont="1" applyFill="1" applyBorder="1" applyAlignment="1">
      <alignment horizontal="centerContinuous"/>
    </xf>
    <xf numFmtId="0" fontId="43" fillId="37" borderId="20" xfId="0" applyFont="1" applyFill="1" applyBorder="1" applyAlignment="1">
      <alignment horizontal="centerContinuous"/>
    </xf>
    <xf numFmtId="0" fontId="46" fillId="37" borderId="22" xfId="0" applyFont="1" applyFill="1" applyBorder="1" applyAlignment="1">
      <alignment horizontal="centerContinuous"/>
    </xf>
    <xf numFmtId="43" fontId="0" fillId="0" borderId="1" xfId="1" applyFont="1" applyBorder="1"/>
    <xf numFmtId="43" fontId="0" fillId="39" borderId="1" xfId="1" applyFont="1" applyFill="1" applyBorder="1"/>
    <xf numFmtId="43" fontId="17" fillId="0" borderId="1" xfId="1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4" fontId="0" fillId="0" borderId="0" xfId="0" applyNumberFormat="1" applyFont="1"/>
    <xf numFmtId="0" fontId="0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0" fontId="0" fillId="0" borderId="1" xfId="0" applyNumberFormat="1" applyFont="1" applyBorder="1"/>
    <xf numFmtId="170" fontId="0" fillId="0" borderId="1" xfId="1" applyNumberFormat="1" applyFont="1" applyBorder="1"/>
    <xf numFmtId="43" fontId="0" fillId="0" borderId="1" xfId="0" applyNumberFormat="1" applyFont="1" applyBorder="1"/>
    <xf numFmtId="9" fontId="0" fillId="0" borderId="1" xfId="0" applyNumberFormat="1" applyFont="1" applyBorder="1"/>
    <xf numFmtId="0" fontId="0" fillId="39" borderId="1" xfId="0" applyFont="1" applyFill="1" applyBorder="1" applyAlignment="1">
      <alignment horizontal="center"/>
    </xf>
    <xf numFmtId="10" fontId="0" fillId="39" borderId="1" xfId="0" applyNumberFormat="1" applyFont="1" applyFill="1" applyBorder="1"/>
    <xf numFmtId="170" fontId="0" fillId="39" borderId="1" xfId="1" applyNumberFormat="1" applyFont="1" applyFill="1" applyBorder="1"/>
    <xf numFmtId="170" fontId="0" fillId="0" borderId="1" xfId="0" applyNumberFormat="1" applyFont="1" applyBorder="1"/>
    <xf numFmtId="43" fontId="0" fillId="39" borderId="1" xfId="0" applyNumberFormat="1" applyFont="1" applyFill="1" applyBorder="1"/>
    <xf numFmtId="0" fontId="1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center" wrapText="1"/>
    </xf>
    <xf numFmtId="43" fontId="0" fillId="0" borderId="18" xfId="1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43" fontId="0" fillId="0" borderId="18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43" fontId="0" fillId="0" borderId="0" xfId="0" applyNumberFormat="1" applyFont="1"/>
    <xf numFmtId="10" fontId="0" fillId="0" borderId="18" xfId="0" applyNumberFormat="1" applyFont="1" applyBorder="1" applyAlignment="1">
      <alignment horizontal="center" vertical="center" wrapText="1"/>
    </xf>
    <xf numFmtId="9" fontId="0" fillId="34" borderId="18" xfId="0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vertical="center"/>
    </xf>
    <xf numFmtId="0" fontId="0" fillId="0" borderId="18" xfId="0" applyFont="1" applyBorder="1" applyAlignment="1">
      <alignment horizontal="justify" vertical="center"/>
    </xf>
    <xf numFmtId="165" fontId="0" fillId="0" borderId="18" xfId="0" applyNumberFormat="1" applyFont="1" applyBorder="1" applyAlignment="1">
      <alignment horizontal="center" vertical="center" wrapText="1"/>
    </xf>
    <xf numFmtId="43" fontId="0" fillId="0" borderId="0" xfId="1" applyFont="1"/>
    <xf numFmtId="0" fontId="0" fillId="0" borderId="18" xfId="0" applyFont="1" applyBorder="1" applyAlignment="1">
      <alignment horizontal="justify" vertical="center" wrapText="1"/>
    </xf>
    <xf numFmtId="165" fontId="0" fillId="0" borderId="18" xfId="0" applyNumberFormat="1" applyFont="1" applyFill="1" applyBorder="1" applyAlignment="1">
      <alignment horizontal="center" vertical="center" wrapText="1"/>
    </xf>
    <xf numFmtId="43" fontId="0" fillId="0" borderId="18" xfId="1" applyFont="1" applyFill="1" applyBorder="1" applyAlignment="1">
      <alignment horizontal="center" vertical="center" wrapText="1"/>
    </xf>
    <xf numFmtId="4" fontId="0" fillId="0" borderId="18" xfId="0" applyNumberFormat="1" applyFont="1" applyBorder="1" applyAlignment="1">
      <alignment horizontal="center" vertical="center" wrapText="1"/>
    </xf>
    <xf numFmtId="0" fontId="22" fillId="0" borderId="0" xfId="0" applyFont="1"/>
    <xf numFmtId="43" fontId="0" fillId="0" borderId="6" xfId="1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10" fontId="0" fillId="0" borderId="18" xfId="52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43" fontId="0" fillId="0" borderId="18" xfId="1" applyFont="1" applyBorder="1" applyAlignment="1">
      <alignment vertical="center" wrapText="1"/>
    </xf>
    <xf numFmtId="0" fontId="48" fillId="0" borderId="0" xfId="0" applyFont="1"/>
    <xf numFmtId="0" fontId="17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3" fontId="15" fillId="0" borderId="18" xfId="1" applyFont="1" applyBorder="1" applyAlignment="1">
      <alignment horizontal="center" vertical="center" wrapText="1"/>
    </xf>
    <xf numFmtId="14" fontId="48" fillId="0" borderId="18" xfId="1" applyNumberFormat="1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43" fontId="17" fillId="39" borderId="5" xfId="1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45" xfId="0" applyFont="1" applyBorder="1" applyAlignment="1">
      <alignment vertical="center" wrapText="1"/>
    </xf>
    <xf numFmtId="43" fontId="0" fillId="0" borderId="36" xfId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3" fontId="17" fillId="45" borderId="18" xfId="0" applyNumberFormat="1" applyFont="1" applyFill="1" applyBorder="1" applyAlignment="1">
      <alignment horizontal="center" vertical="center" wrapText="1"/>
    </xf>
    <xf numFmtId="0" fontId="17" fillId="45" borderId="18" xfId="0" applyFont="1" applyFill="1" applyBorder="1" applyAlignment="1">
      <alignment horizontal="center" vertical="center" wrapText="1"/>
    </xf>
    <xf numFmtId="165" fontId="17" fillId="45" borderId="18" xfId="0" applyNumberFormat="1" applyFont="1" applyFill="1" applyBorder="1" applyAlignment="1">
      <alignment horizontal="center" vertical="center" wrapText="1"/>
    </xf>
    <xf numFmtId="43" fontId="17" fillId="45" borderId="18" xfId="1" applyFont="1" applyFill="1" applyBorder="1" applyAlignment="1">
      <alignment horizontal="center" vertical="center" wrapText="1"/>
    </xf>
    <xf numFmtId="4" fontId="17" fillId="45" borderId="18" xfId="0" applyNumberFormat="1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36" xfId="0" applyFont="1" applyBorder="1" applyAlignment="1">
      <alignment vertical="center" wrapText="1"/>
    </xf>
    <xf numFmtId="10" fontId="0" fillId="0" borderId="36" xfId="52" applyNumberFormat="1" applyFont="1" applyBorder="1" applyAlignment="1">
      <alignment horizontal="center" vertical="center" wrapText="1"/>
    </xf>
    <xf numFmtId="0" fontId="17" fillId="45" borderId="5" xfId="1" applyNumberFormat="1" applyFont="1" applyFill="1" applyBorder="1" applyAlignment="1">
      <alignment horizontal="centerContinuous" vertical="center" wrapText="1"/>
    </xf>
    <xf numFmtId="0" fontId="17" fillId="45" borderId="4" xfId="0" applyFont="1" applyFill="1" applyBorder="1" applyAlignment="1">
      <alignment vertical="center" wrapText="1"/>
    </xf>
    <xf numFmtId="43" fontId="17" fillId="45" borderId="6" xfId="1" applyFont="1" applyFill="1" applyBorder="1" applyAlignment="1">
      <alignment vertical="center" wrapText="1"/>
    </xf>
    <xf numFmtId="43" fontId="0" fillId="45" borderId="18" xfId="1" applyFont="1" applyFill="1" applyBorder="1" applyAlignment="1">
      <alignment vertical="center" wrapText="1"/>
    </xf>
    <xf numFmtId="166" fontId="0" fillId="0" borderId="18" xfId="0" applyNumberFormat="1" applyFont="1" applyBorder="1" applyAlignment="1">
      <alignment horizontal="center" vertical="center" wrapText="1"/>
    </xf>
    <xf numFmtId="166" fontId="0" fillId="0" borderId="6" xfId="0" applyNumberFormat="1" applyFont="1" applyBorder="1" applyAlignment="1">
      <alignment horizontal="center" vertical="center" wrapText="1"/>
    </xf>
    <xf numFmtId="43" fontId="0" fillId="0" borderId="18" xfId="0" applyNumberFormat="1" applyFont="1" applyBorder="1" applyAlignment="1">
      <alignment vertical="center" wrapText="1"/>
    </xf>
    <xf numFmtId="0" fontId="0" fillId="0" borderId="18" xfId="0" applyFont="1" applyBorder="1" applyAlignment="1">
      <alignment horizontal="right" vertical="center" wrapText="1"/>
    </xf>
    <xf numFmtId="165" fontId="0" fillId="0" borderId="18" xfId="0" applyNumberFormat="1" applyFont="1" applyBorder="1" applyAlignment="1">
      <alignment vertical="center" wrapText="1"/>
    </xf>
    <xf numFmtId="4" fontId="0" fillId="0" borderId="18" xfId="1" applyNumberFormat="1" applyFont="1" applyBorder="1" applyAlignment="1">
      <alignment horizontal="right" vertical="center" wrapText="1"/>
    </xf>
    <xf numFmtId="4" fontId="0" fillId="0" borderId="18" xfId="0" applyNumberFormat="1" applyFont="1" applyBorder="1" applyAlignment="1">
      <alignment horizontal="right" vertical="center" wrapText="1"/>
    </xf>
    <xf numFmtId="0" fontId="0" fillId="0" borderId="0" xfId="0" applyFont="1" applyAlignment="1">
      <alignment wrapText="1"/>
    </xf>
    <xf numFmtId="0" fontId="49" fillId="2" borderId="1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left" vertical="center" wrapText="1"/>
    </xf>
    <xf numFmtId="4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4" fontId="34" fillId="0" borderId="1" xfId="0" applyNumberFormat="1" applyFont="1" applyBorder="1" applyAlignment="1">
      <alignment horizontal="center" vertical="center"/>
    </xf>
    <xf numFmtId="0" fontId="17" fillId="45" borderId="7" xfId="0" applyFont="1" applyFill="1" applyBorder="1" applyAlignment="1">
      <alignment horizontal="center" vertical="center" wrapText="1"/>
    </xf>
    <xf numFmtId="43" fontId="17" fillId="45" borderId="18" xfId="1" applyFont="1" applyFill="1" applyBorder="1" applyAlignment="1">
      <alignment vertical="center" wrapText="1"/>
    </xf>
    <xf numFmtId="0" fontId="17" fillId="45" borderId="18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7" fillId="0" borderId="6" xfId="0" applyFont="1" applyFill="1" applyBorder="1" applyAlignment="1">
      <alignment horizontal="centerContinuous" vertical="center" wrapText="1"/>
    </xf>
    <xf numFmtId="0" fontId="17" fillId="0" borderId="5" xfId="0" applyFont="1" applyFill="1" applyBorder="1" applyAlignment="1">
      <alignment horizontal="centerContinuous" vertical="center" wrapText="1"/>
    </xf>
    <xf numFmtId="10" fontId="17" fillId="45" borderId="18" xfId="0" applyNumberFormat="1" applyFont="1" applyFill="1" applyBorder="1" applyAlignment="1">
      <alignment horizontal="center" vertical="center" wrapText="1"/>
    </xf>
    <xf numFmtId="166" fontId="17" fillId="45" borderId="18" xfId="0" applyNumberFormat="1" applyFont="1" applyFill="1" applyBorder="1" applyAlignment="1">
      <alignment horizontal="center" vertical="center" wrapText="1"/>
    </xf>
    <xf numFmtId="43" fontId="17" fillId="45" borderId="18" xfId="0" applyNumberFormat="1" applyFont="1" applyFill="1" applyBorder="1" applyAlignment="1">
      <alignment vertical="center" wrapText="1"/>
    </xf>
    <xf numFmtId="0" fontId="17" fillId="40" borderId="6" xfId="0" applyFont="1" applyFill="1" applyBorder="1" applyAlignment="1">
      <alignment horizontal="center" vertical="center" wrapText="1"/>
    </xf>
    <xf numFmtId="0" fontId="17" fillId="40" borderId="5" xfId="0" applyFont="1" applyFill="1" applyBorder="1" applyAlignment="1">
      <alignment vertical="center" wrapText="1"/>
    </xf>
    <xf numFmtId="0" fontId="17" fillId="40" borderId="5" xfId="0" applyFont="1" applyFill="1" applyBorder="1" applyAlignment="1">
      <alignment horizontal="center" vertical="center" wrapText="1"/>
    </xf>
    <xf numFmtId="0" fontId="0" fillId="40" borderId="7" xfId="0" applyFont="1" applyFill="1" applyBorder="1" applyAlignment="1">
      <alignment horizontal="center" vertical="center" wrapText="1"/>
    </xf>
    <xf numFmtId="0" fontId="0" fillId="40" borderId="18" xfId="0" applyFont="1" applyFill="1" applyBorder="1" applyAlignment="1">
      <alignment vertical="center" wrapText="1"/>
    </xf>
    <xf numFmtId="43" fontId="0" fillId="40" borderId="18" xfId="1" applyFont="1" applyFill="1" applyBorder="1" applyAlignment="1">
      <alignment horizontal="center" vertical="center" wrapText="1"/>
    </xf>
    <xf numFmtId="4" fontId="17" fillId="45" borderId="18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7" fillId="45" borderId="4" xfId="0" applyFont="1" applyFill="1" applyBorder="1" applyAlignment="1">
      <alignment horizontal="center" vertical="center" wrapText="1"/>
    </xf>
    <xf numFmtId="0" fontId="17" fillId="45" borderId="5" xfId="0" applyFont="1" applyFill="1" applyBorder="1" applyAlignment="1">
      <alignment horizontal="center" vertical="center" wrapText="1"/>
    </xf>
    <xf numFmtId="0" fontId="17" fillId="35" borderId="0" xfId="0" applyFont="1" applyFill="1" applyBorder="1" applyAlignment="1">
      <alignment horizontal="center" vertical="center"/>
    </xf>
    <xf numFmtId="0" fontId="17" fillId="45" borderId="4" xfId="0" applyNumberFormat="1" applyFont="1" applyFill="1" applyBorder="1" applyAlignment="1">
      <alignment horizontal="center" vertical="center" wrapText="1"/>
    </xf>
    <xf numFmtId="0" fontId="17" fillId="45" borderId="46" xfId="0" applyNumberFormat="1" applyFont="1" applyFill="1" applyBorder="1" applyAlignment="1">
      <alignment horizontal="center" vertical="center" wrapText="1"/>
    </xf>
    <xf numFmtId="0" fontId="17" fillId="35" borderId="0" xfId="0" applyFont="1" applyFill="1" applyBorder="1" applyAlignment="1">
      <alignment horizontal="center" vertical="center" wrapText="1"/>
    </xf>
    <xf numFmtId="0" fontId="14" fillId="36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24" fillId="0" borderId="32" xfId="0" applyFont="1" applyBorder="1" applyAlignment="1">
      <alignment horizontal="left"/>
    </xf>
    <xf numFmtId="0" fontId="24" fillId="0" borderId="33" xfId="0" applyFont="1" applyBorder="1" applyAlignment="1">
      <alignment horizontal="left"/>
    </xf>
    <xf numFmtId="0" fontId="24" fillId="0" borderId="34" xfId="0" applyFont="1" applyBorder="1" applyAlignment="1">
      <alignment horizontal="left"/>
    </xf>
    <xf numFmtId="0" fontId="24" fillId="0" borderId="35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36" xfId="0" applyFont="1" applyBorder="1" applyAlignment="1">
      <alignment horizontal="left"/>
    </xf>
    <xf numFmtId="0" fontId="24" fillId="0" borderId="41" xfId="0" applyFont="1" applyBorder="1" applyAlignment="1">
      <alignment horizontal="left"/>
    </xf>
    <xf numFmtId="0" fontId="24" fillId="0" borderId="42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5" fillId="37" borderId="8" xfId="0" applyFont="1" applyFill="1" applyBorder="1" applyAlignment="1">
      <alignment horizontal="center" vertical="center"/>
    </xf>
    <xf numFmtId="0" fontId="25" fillId="37" borderId="19" xfId="0" applyFont="1" applyFill="1" applyBorder="1" applyAlignment="1">
      <alignment horizontal="center" vertical="center"/>
    </xf>
    <xf numFmtId="0" fontId="25" fillId="37" borderId="20" xfId="0" applyFont="1" applyFill="1" applyBorder="1" applyAlignment="1">
      <alignment horizontal="center" vertical="center"/>
    </xf>
    <xf numFmtId="0" fontId="20" fillId="37" borderId="8" xfId="0" applyFont="1" applyFill="1" applyBorder="1" applyAlignment="1">
      <alignment vertical="center"/>
    </xf>
    <xf numFmtId="0" fontId="20" fillId="37" borderId="19" xfId="0" applyFont="1" applyFill="1" applyBorder="1" applyAlignment="1">
      <alignment vertical="center"/>
    </xf>
    <xf numFmtId="0" fontId="20" fillId="37" borderId="20" xfId="0" applyFont="1" applyFill="1" applyBorder="1" applyAlignment="1">
      <alignment vertical="center"/>
    </xf>
    <xf numFmtId="0" fontId="20" fillId="37" borderId="8" xfId="0" applyFont="1" applyFill="1" applyBorder="1" applyAlignment="1">
      <alignment horizontal="left" vertical="center"/>
    </xf>
    <xf numFmtId="0" fontId="20" fillId="37" borderId="19" xfId="0" applyFont="1" applyFill="1" applyBorder="1" applyAlignment="1">
      <alignment horizontal="left" vertical="center"/>
    </xf>
    <xf numFmtId="0" fontId="20" fillId="37" borderId="20" xfId="0" applyFont="1" applyFill="1" applyBorder="1" applyAlignment="1">
      <alignment horizontal="left" vertical="center"/>
    </xf>
    <xf numFmtId="0" fontId="36" fillId="44" borderId="8" xfId="0" applyFont="1" applyFill="1" applyBorder="1" applyAlignment="1">
      <alignment horizontal="left" vertical="center"/>
    </xf>
    <xf numFmtId="0" fontId="36" fillId="44" borderId="19" xfId="0" applyFont="1" applyFill="1" applyBorder="1" applyAlignment="1">
      <alignment horizontal="left" vertical="center"/>
    </xf>
    <xf numFmtId="0" fontId="36" fillId="44" borderId="20" xfId="0" applyFont="1" applyFill="1" applyBorder="1" applyAlignment="1">
      <alignment horizontal="left" vertical="center"/>
    </xf>
    <xf numFmtId="0" fontId="20" fillId="38" borderId="8" xfId="0" applyFont="1" applyFill="1" applyBorder="1" applyAlignment="1">
      <alignment horizontal="left" vertical="center"/>
    </xf>
    <xf numFmtId="0" fontId="20" fillId="38" borderId="19" xfId="0" applyFont="1" applyFill="1" applyBorder="1" applyAlignment="1">
      <alignment horizontal="left" vertical="center"/>
    </xf>
    <xf numFmtId="0" fontId="20" fillId="38" borderId="20" xfId="0" applyFont="1" applyFill="1" applyBorder="1" applyAlignment="1">
      <alignment horizontal="left" vertical="center"/>
    </xf>
    <xf numFmtId="166" fontId="44" fillId="39" borderId="22" xfId="0" applyNumberFormat="1" applyFont="1" applyFill="1" applyBorder="1" applyAlignment="1">
      <alignment horizontal="center" vertical="center"/>
    </xf>
    <xf numFmtId="166" fontId="44" fillId="39" borderId="27" xfId="0" applyNumberFormat="1" applyFont="1" applyFill="1" applyBorder="1" applyAlignment="1">
      <alignment horizontal="center" vertical="center"/>
    </xf>
    <xf numFmtId="0" fontId="40" fillId="0" borderId="3" xfId="0" applyFont="1" applyFill="1" applyBorder="1" applyAlignment="1" applyProtection="1">
      <alignment horizontal="center" vertical="center" wrapText="1"/>
    </xf>
    <xf numFmtId="0" fontId="40" fillId="0" borderId="2" xfId="0" applyFont="1" applyFill="1" applyBorder="1" applyAlignment="1" applyProtection="1">
      <alignment horizontal="center" vertical="center" wrapText="1"/>
    </xf>
    <xf numFmtId="2" fontId="40" fillId="0" borderId="8" xfId="0" applyNumberFormat="1" applyFont="1" applyFill="1" applyBorder="1" applyAlignment="1" applyProtection="1">
      <alignment horizontal="center" vertical="center"/>
    </xf>
    <xf numFmtId="2" fontId="40" fillId="0" borderId="19" xfId="0" applyNumberFormat="1" applyFont="1" applyFill="1" applyBorder="1" applyAlignment="1" applyProtection="1">
      <alignment horizontal="center" vertical="center"/>
    </xf>
    <xf numFmtId="2" fontId="40" fillId="0" borderId="20" xfId="0" applyNumberFormat="1" applyFont="1" applyFill="1" applyBorder="1" applyAlignment="1" applyProtection="1">
      <alignment horizontal="center" vertical="center"/>
    </xf>
    <xf numFmtId="14" fontId="40" fillId="0" borderId="8" xfId="0" applyNumberFormat="1" applyFont="1" applyFill="1" applyBorder="1" applyAlignment="1" applyProtection="1">
      <alignment horizontal="center" vertical="center"/>
    </xf>
    <xf numFmtId="14" fontId="40" fillId="0" borderId="19" xfId="0" applyNumberFormat="1" applyFont="1" applyFill="1" applyBorder="1" applyAlignment="1" applyProtection="1">
      <alignment horizontal="center" vertical="center"/>
    </xf>
    <xf numFmtId="14" fontId="40" fillId="0" borderId="20" xfId="0" applyNumberFormat="1" applyFont="1" applyFill="1" applyBorder="1" applyAlignment="1" applyProtection="1">
      <alignment horizontal="center" vertical="center"/>
    </xf>
    <xf numFmtId="166" fontId="40" fillId="0" borderId="8" xfId="0" applyNumberFormat="1" applyFont="1" applyFill="1" applyBorder="1" applyAlignment="1" applyProtection="1">
      <alignment horizontal="center" vertical="center"/>
    </xf>
    <xf numFmtId="166" fontId="40" fillId="0" borderId="19" xfId="0" applyNumberFormat="1" applyFont="1" applyFill="1" applyBorder="1" applyAlignment="1" applyProtection="1">
      <alignment horizontal="center" vertical="center"/>
    </xf>
    <xf numFmtId="166" fontId="40" fillId="0" borderId="20" xfId="0" applyNumberFormat="1" applyFont="1" applyFill="1" applyBorder="1" applyAlignment="1" applyProtection="1">
      <alignment horizontal="center" vertical="center"/>
    </xf>
    <xf numFmtId="0" fontId="34" fillId="0" borderId="4" xfId="0" applyFont="1" applyBorder="1" applyAlignment="1">
      <alignment horizontal="center"/>
    </xf>
    <xf numFmtId="0" fontId="34" fillId="0" borderId="46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22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</cellXfs>
  <cellStyles count="65">
    <cellStyle name="20% - Ênfase1" xfId="23" builtinId="30" customBuiltin="1"/>
    <cellStyle name="20% - Ênfase2" xfId="27" builtinId="34" customBuiltin="1"/>
    <cellStyle name="20% - Ênfase3" xfId="31" builtinId="38" customBuiltin="1"/>
    <cellStyle name="20% - Ênfase4" xfId="35" builtinId="42" customBuiltin="1"/>
    <cellStyle name="20% - Ênfase5" xfId="39" builtinId="46" customBuiltin="1"/>
    <cellStyle name="20% - Ênfase6" xfId="43" builtinId="50" customBuiltin="1"/>
    <cellStyle name="40% - Ênfase1" xfId="24" builtinId="31" customBuiltin="1"/>
    <cellStyle name="40% - Ênfase2" xfId="28" builtinId="35" customBuiltin="1"/>
    <cellStyle name="40% - Ênfase3" xfId="32" builtinId="39" customBuiltin="1"/>
    <cellStyle name="40% - Ênfase4" xfId="36" builtinId="43" customBuiltin="1"/>
    <cellStyle name="40% - Ênfase5" xfId="40" builtinId="47" customBuiltin="1"/>
    <cellStyle name="40% - Ênfase6" xfId="44" builtinId="51" customBuiltin="1"/>
    <cellStyle name="60% - Ênfase1" xfId="25" builtinId="32" customBuiltin="1"/>
    <cellStyle name="60% - Ênfase2" xfId="29" builtinId="36" customBuiltin="1"/>
    <cellStyle name="60% - Ênfase3" xfId="33" builtinId="40" customBuiltin="1"/>
    <cellStyle name="60% - Ênfase4" xfId="37" builtinId="44" customBuiltin="1"/>
    <cellStyle name="60% - Ênfase5" xfId="41" builtinId="48" customBuiltin="1"/>
    <cellStyle name="60% - Ênfase6" xfId="45" builtinId="52" customBuiltin="1"/>
    <cellStyle name="Bom" xfId="10" builtinId="26" customBuiltin="1"/>
    <cellStyle name="Cálculo" xfId="15" builtinId="22" customBuiltin="1"/>
    <cellStyle name="Célula de Verificação" xfId="17" builtinId="23" customBuiltin="1"/>
    <cellStyle name="Célula Vinculada" xfId="16" builtinId="24" customBuiltin="1"/>
    <cellStyle name="Ênfase1" xfId="22" builtinId="29" customBuiltin="1"/>
    <cellStyle name="Ênfase2" xfId="26" builtinId="33" customBuiltin="1"/>
    <cellStyle name="Ênfase3" xfId="30" builtinId="37" customBuiltin="1"/>
    <cellStyle name="Ênfase4" xfId="34" builtinId="41" customBuiltin="1"/>
    <cellStyle name="Ênfase5" xfId="38" builtinId="45" customBuiltin="1"/>
    <cellStyle name="Ênfase6" xfId="42" builtinId="49" customBuiltin="1"/>
    <cellStyle name="Entrada" xfId="13" builtinId="20" customBuiltin="1"/>
    <cellStyle name="Incorreto" xfId="11" builtinId="27" customBuiltin="1"/>
    <cellStyle name="Moeda" xfId="53" builtinId="4"/>
    <cellStyle name="Moeda 2" xfId="64"/>
    <cellStyle name="Moeda 3" xfId="55"/>
    <cellStyle name="Neutra" xfId="12" builtinId="28" customBuiltin="1"/>
    <cellStyle name="Normal" xfId="0" builtinId="0"/>
    <cellStyle name="Normal 2" xfId="47"/>
    <cellStyle name="Normal 2 2" xfId="60"/>
    <cellStyle name="Normal 2 3" xfId="57"/>
    <cellStyle name="Normal 3" xfId="63"/>
    <cellStyle name="Normal 3 3" xfId="58"/>
    <cellStyle name="Normal 4" xfId="54"/>
    <cellStyle name="Nota" xfId="19" builtinId="10" customBuiltin="1"/>
    <cellStyle name="Porcentagem" xfId="52" builtinId="5"/>
    <cellStyle name="Porcentagem 2" xfId="56"/>
    <cellStyle name="Saída" xfId="14" builtinId="21" customBuiltin="1"/>
    <cellStyle name="Texto de Aviso" xfId="18" builtinId="11" customBuiltin="1"/>
    <cellStyle name="Texto Explicativo" xfId="20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ítulo 4" xfId="9" builtinId="19" customBuiltin="1"/>
    <cellStyle name="Total" xfId="21" builtinId="25" customBuiltin="1"/>
    <cellStyle name="Vírgula" xfId="1" builtinId="3"/>
    <cellStyle name="Vírgula 2" xfId="2"/>
    <cellStyle name="Vírgula 2 2" xfId="62"/>
    <cellStyle name="Vírgula 2 3" xfId="61"/>
    <cellStyle name="Vírgula 3" xfId="4"/>
    <cellStyle name="Vírgula 3 2" xfId="50"/>
    <cellStyle name="Vírgula 4" xfId="3"/>
    <cellStyle name="Vírgula 4 2" xfId="49"/>
    <cellStyle name="Vírgula 5" xfId="46"/>
    <cellStyle name="Vírgula 5 2" xfId="51"/>
    <cellStyle name="Vírgula 6" xfId="48"/>
    <cellStyle name="Vírgula 7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omprasgovernamentais.gov.br/index.php/noticias/942-planilha-noticia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comprasgovernamentais.gov.br/index.php/noticias/942-planilha-noticia" TargetMode="Externa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5"/>
  <sheetViews>
    <sheetView showGridLines="0" tabSelected="1" zoomScaleNormal="100" workbookViewId="0">
      <selection activeCell="R73" sqref="R73"/>
    </sheetView>
  </sheetViews>
  <sheetFormatPr defaultRowHeight="15" x14ac:dyDescent="0.25"/>
  <cols>
    <col min="1" max="1" width="9.140625" style="93"/>
    <col min="2" max="2" width="24.28515625" style="93" customWidth="1"/>
    <col min="3" max="3" width="22.140625" style="93" customWidth="1"/>
    <col min="4" max="4" width="16.28515625" style="96" customWidth="1"/>
    <col min="5" max="5" width="26.7109375" style="93" customWidth="1"/>
    <col min="6" max="6" width="19.7109375" style="93" customWidth="1"/>
    <col min="7" max="8" width="11.5703125" style="93" bestFit="1" customWidth="1"/>
    <col min="9" max="9" width="12.7109375" style="93" customWidth="1"/>
    <col min="10" max="16384" width="9.140625" style="93"/>
  </cols>
  <sheetData>
    <row r="1" spans="2:10" s="41" customFormat="1" x14ac:dyDescent="0.25">
      <c r="C1" s="41" t="s">
        <v>222</v>
      </c>
      <c r="D1" s="42"/>
    </row>
    <row r="2" spans="2:10" s="41" customFormat="1" x14ac:dyDescent="0.25">
      <c r="D2" s="42"/>
    </row>
    <row r="3" spans="2:10" s="41" customFormat="1" x14ac:dyDescent="0.25">
      <c r="D3" s="42"/>
      <c r="E3" s="202" t="s">
        <v>240</v>
      </c>
      <c r="F3" s="202"/>
    </row>
    <row r="4" spans="2:10" s="41" customFormat="1" ht="30" x14ac:dyDescent="0.25">
      <c r="B4" s="92" t="s">
        <v>223</v>
      </c>
      <c r="C4" s="97" t="s">
        <v>224</v>
      </c>
      <c r="D4" s="98" t="s">
        <v>225</v>
      </c>
      <c r="E4" s="97" t="s">
        <v>226</v>
      </c>
      <c r="F4" s="97" t="s">
        <v>227</v>
      </c>
      <c r="G4" s="97"/>
      <c r="H4" s="97"/>
      <c r="I4" s="97"/>
      <c r="J4" s="97"/>
    </row>
    <row r="5" spans="2:10" x14ac:dyDescent="0.25">
      <c r="B5" s="90" t="s">
        <v>228</v>
      </c>
      <c r="C5" s="90">
        <v>1</v>
      </c>
      <c r="D5" s="99">
        <v>30</v>
      </c>
      <c r="E5" s="100">
        <v>0.5</v>
      </c>
      <c r="F5" s="101">
        <v>15</v>
      </c>
      <c r="G5" s="90">
        <f t="shared" ref="G5:G16" si="0">$G$17*F5</f>
        <v>810.10799999999995</v>
      </c>
      <c r="H5" s="90">
        <f t="shared" ref="H5:H16" si="1">G5/12</f>
        <v>67.509</v>
      </c>
      <c r="I5" s="102"/>
      <c r="J5" s="94"/>
    </row>
    <row r="6" spans="2:10" x14ac:dyDescent="0.25">
      <c r="B6" s="90" t="s">
        <v>229</v>
      </c>
      <c r="C6" s="90">
        <v>1</v>
      </c>
      <c r="D6" s="99">
        <v>1</v>
      </c>
      <c r="E6" s="103">
        <v>1</v>
      </c>
      <c r="F6" s="101">
        <v>1</v>
      </c>
      <c r="G6" s="90">
        <f t="shared" si="0"/>
        <v>54.007199999999997</v>
      </c>
      <c r="H6" s="90">
        <f t="shared" si="1"/>
        <v>4.5005999999999995</v>
      </c>
      <c r="I6" s="102"/>
      <c r="J6" s="94"/>
    </row>
    <row r="7" spans="2:10" x14ac:dyDescent="0.25">
      <c r="B7" s="91" t="s">
        <v>230</v>
      </c>
      <c r="C7" s="91">
        <v>9.2200000000000004E-2</v>
      </c>
      <c r="D7" s="104">
        <v>15</v>
      </c>
      <c r="E7" s="105">
        <v>0.5</v>
      </c>
      <c r="F7" s="106">
        <v>0.69130000000000003</v>
      </c>
      <c r="G7" s="91">
        <f t="shared" si="0"/>
        <v>37.335177360000003</v>
      </c>
      <c r="H7" s="91">
        <f t="shared" si="1"/>
        <v>3.1112647800000004</v>
      </c>
      <c r="I7" s="102"/>
      <c r="J7" s="94"/>
    </row>
    <row r="8" spans="2:10" x14ac:dyDescent="0.25">
      <c r="B8" s="90" t="s">
        <v>231</v>
      </c>
      <c r="C8" s="90">
        <v>1</v>
      </c>
      <c r="D8" s="99">
        <v>5</v>
      </c>
      <c r="E8" s="100">
        <v>0.5</v>
      </c>
      <c r="F8" s="101">
        <v>2.5</v>
      </c>
      <c r="G8" s="90">
        <f t="shared" si="0"/>
        <v>135.018</v>
      </c>
      <c r="H8" s="90">
        <f t="shared" si="1"/>
        <v>11.2515</v>
      </c>
      <c r="I8" s="102"/>
      <c r="J8" s="94"/>
    </row>
    <row r="9" spans="2:10" x14ac:dyDescent="0.25">
      <c r="B9" s="90" t="s">
        <v>232</v>
      </c>
      <c r="C9" s="90">
        <v>0.1522</v>
      </c>
      <c r="D9" s="99">
        <v>2</v>
      </c>
      <c r="E9" s="103">
        <v>1</v>
      </c>
      <c r="F9" s="101">
        <v>0.3044</v>
      </c>
      <c r="G9" s="90">
        <f t="shared" si="0"/>
        <v>16.439791679999999</v>
      </c>
      <c r="H9" s="90">
        <f t="shared" si="1"/>
        <v>1.3699826399999999</v>
      </c>
      <c r="I9" s="102"/>
      <c r="J9" s="94"/>
    </row>
    <row r="10" spans="2:10" x14ac:dyDescent="0.25">
      <c r="B10" s="90" t="s">
        <v>233</v>
      </c>
      <c r="C10" s="90">
        <v>3.09E-2</v>
      </c>
      <c r="D10" s="99">
        <v>2</v>
      </c>
      <c r="E10" s="100">
        <v>0.5</v>
      </c>
      <c r="F10" s="101">
        <v>3.09E-2</v>
      </c>
      <c r="G10" s="90">
        <f t="shared" si="0"/>
        <v>1.66882248</v>
      </c>
      <c r="H10" s="90">
        <f t="shared" si="1"/>
        <v>0.13906853999999999</v>
      </c>
      <c r="I10" s="102"/>
      <c r="J10" s="94"/>
    </row>
    <row r="11" spans="2:10" x14ac:dyDescent="0.25">
      <c r="B11" s="90" t="s">
        <v>234</v>
      </c>
      <c r="C11" s="90">
        <v>1.23E-2</v>
      </c>
      <c r="D11" s="99">
        <v>3</v>
      </c>
      <c r="E11" s="103">
        <v>0.5</v>
      </c>
      <c r="F11" s="101">
        <v>1.8499999999999999E-2</v>
      </c>
      <c r="G11" s="90">
        <f t="shared" si="0"/>
        <v>0.99913319999999994</v>
      </c>
      <c r="H11" s="90">
        <f t="shared" si="1"/>
        <v>8.3261099999999991E-2</v>
      </c>
      <c r="I11" s="102"/>
      <c r="J11" s="94"/>
    </row>
    <row r="12" spans="2:10" x14ac:dyDescent="0.25">
      <c r="B12" s="90" t="s">
        <v>235</v>
      </c>
      <c r="C12" s="90">
        <v>0.02</v>
      </c>
      <c r="D12" s="99">
        <v>1</v>
      </c>
      <c r="E12" s="103">
        <v>1</v>
      </c>
      <c r="F12" s="101">
        <v>0.02</v>
      </c>
      <c r="G12" s="90">
        <f t="shared" si="0"/>
        <v>1.080144</v>
      </c>
      <c r="H12" s="90">
        <f t="shared" si="1"/>
        <v>9.0011999999999995E-2</v>
      </c>
      <c r="I12" s="102"/>
      <c r="J12" s="94"/>
    </row>
    <row r="13" spans="2:10" x14ac:dyDescent="0.25">
      <c r="B13" s="90" t="s">
        <v>236</v>
      </c>
      <c r="C13" s="90">
        <v>4.0000000000000001E-3</v>
      </c>
      <c r="D13" s="99">
        <v>1</v>
      </c>
      <c r="E13" s="103">
        <v>1</v>
      </c>
      <c r="F13" s="101">
        <v>4.0000000000000001E-3</v>
      </c>
      <c r="G13" s="90">
        <f t="shared" si="0"/>
        <v>0.21602879999999999</v>
      </c>
      <c r="H13" s="90">
        <f t="shared" si="1"/>
        <v>1.8002399999999998E-2</v>
      </c>
      <c r="I13" s="102"/>
      <c r="J13" s="94"/>
    </row>
    <row r="14" spans="2:10" x14ac:dyDescent="0.25">
      <c r="B14" s="91" t="s">
        <v>237</v>
      </c>
      <c r="C14" s="91">
        <v>3.2099999999999997E-2</v>
      </c>
      <c r="D14" s="104">
        <v>20</v>
      </c>
      <c r="E14" s="105">
        <v>0.5</v>
      </c>
      <c r="F14" s="106">
        <v>0.32129999999999997</v>
      </c>
      <c r="G14" s="91">
        <f t="shared" si="0"/>
        <v>17.352513359999996</v>
      </c>
      <c r="H14" s="91">
        <f t="shared" si="1"/>
        <v>1.4460427799999998</v>
      </c>
      <c r="I14" s="102"/>
      <c r="J14" s="94"/>
    </row>
    <row r="15" spans="2:10" x14ac:dyDescent="0.25">
      <c r="B15" s="91" t="s">
        <v>238</v>
      </c>
      <c r="C15" s="91">
        <v>2.8E-3</v>
      </c>
      <c r="D15" s="104">
        <v>180</v>
      </c>
      <c r="E15" s="105">
        <v>0.5</v>
      </c>
      <c r="F15" s="106">
        <v>0.24959999999999999</v>
      </c>
      <c r="G15" s="91">
        <f t="shared" si="0"/>
        <v>13.480197119999998</v>
      </c>
      <c r="H15" s="91">
        <f t="shared" si="1"/>
        <v>1.1233497599999998</v>
      </c>
      <c r="I15" s="102"/>
      <c r="J15" s="94"/>
    </row>
    <row r="16" spans="2:10" x14ac:dyDescent="0.25">
      <c r="B16" s="90" t="s">
        <v>239</v>
      </c>
      <c r="C16" s="90">
        <v>2.0000000000000001E-4</v>
      </c>
      <c r="D16" s="99">
        <v>6</v>
      </c>
      <c r="E16" s="103">
        <v>1</v>
      </c>
      <c r="F16" s="101">
        <v>1.4E-3</v>
      </c>
      <c r="G16" s="90">
        <f t="shared" si="0"/>
        <v>7.5610079999999996E-2</v>
      </c>
      <c r="H16" s="90">
        <f t="shared" si="1"/>
        <v>6.3008399999999994E-3</v>
      </c>
      <c r="I16" s="102"/>
      <c r="J16" s="94"/>
    </row>
    <row r="17" spans="2:10" x14ac:dyDescent="0.25">
      <c r="B17" s="94"/>
      <c r="C17" s="94"/>
      <c r="D17" s="99"/>
      <c r="E17" s="94"/>
      <c r="F17" s="107">
        <f>SUM(F5:F16)</f>
        <v>20.141400000000001</v>
      </c>
      <c r="G17" s="90">
        <f>'1a POSTO 12x36 DIURNO 5 postos'!D37/30</f>
        <v>54.007199999999997</v>
      </c>
      <c r="H17" s="90">
        <f>G17*F17</f>
        <v>1087.7806180800001</v>
      </c>
      <c r="I17" s="102">
        <f>H17/12</f>
        <v>90.648384840000006</v>
      </c>
      <c r="J17" s="94"/>
    </row>
    <row r="18" spans="2:10" x14ac:dyDescent="0.25">
      <c r="B18" s="94"/>
      <c r="C18" s="94"/>
      <c r="D18" s="99"/>
      <c r="E18" s="94"/>
      <c r="F18" s="94"/>
      <c r="G18" s="94"/>
      <c r="H18" s="94"/>
      <c r="I18" s="102">
        <f>H7</f>
        <v>3.1112647800000004</v>
      </c>
      <c r="J18" s="94"/>
    </row>
    <row r="19" spans="2:10" x14ac:dyDescent="0.25">
      <c r="B19" s="94"/>
      <c r="C19" s="94"/>
      <c r="D19" s="99"/>
      <c r="E19" s="94"/>
      <c r="F19" s="94"/>
      <c r="G19" s="94"/>
      <c r="H19" s="94"/>
      <c r="I19" s="102">
        <f>H14</f>
        <v>1.4460427799999998</v>
      </c>
      <c r="J19" s="94"/>
    </row>
    <row r="20" spans="2:10" x14ac:dyDescent="0.25">
      <c r="B20" s="94"/>
      <c r="C20" s="94"/>
      <c r="D20" s="99"/>
      <c r="E20" s="94"/>
      <c r="F20" s="94"/>
      <c r="G20" s="94"/>
      <c r="H20" s="94"/>
      <c r="I20" s="102">
        <f>H15</f>
        <v>1.1233497599999998</v>
      </c>
      <c r="J20" s="94"/>
    </row>
    <row r="21" spans="2:10" x14ac:dyDescent="0.25">
      <c r="B21" s="94"/>
      <c r="C21" s="94"/>
      <c r="D21" s="99"/>
      <c r="E21" s="94"/>
      <c r="F21" s="94"/>
      <c r="G21" s="94"/>
      <c r="H21" s="94"/>
      <c r="I21" s="102">
        <f>I17-I18-I19-I20</f>
        <v>84.967727520000011</v>
      </c>
      <c r="J21" s="94"/>
    </row>
    <row r="22" spans="2:10" x14ac:dyDescent="0.25">
      <c r="B22" s="94"/>
      <c r="C22" s="94"/>
      <c r="D22" s="99"/>
      <c r="E22" s="94"/>
      <c r="F22" s="94"/>
      <c r="G22" s="94"/>
      <c r="H22" s="94"/>
      <c r="I22" s="94"/>
      <c r="J22" s="94"/>
    </row>
    <row r="24" spans="2:10" x14ac:dyDescent="0.25">
      <c r="B24" s="95">
        <v>1782.24</v>
      </c>
    </row>
    <row r="25" spans="2:10" s="41" customFormat="1" x14ac:dyDescent="0.25">
      <c r="D25" s="42"/>
      <c r="E25" s="202" t="s">
        <v>247</v>
      </c>
      <c r="F25" s="202"/>
    </row>
    <row r="26" spans="2:10" s="41" customFormat="1" ht="30" x14ac:dyDescent="0.25">
      <c r="B26" s="92" t="s">
        <v>223</v>
      </c>
      <c r="C26" s="97" t="s">
        <v>224</v>
      </c>
      <c r="D26" s="98" t="s">
        <v>225</v>
      </c>
      <c r="E26" s="97" t="s">
        <v>226</v>
      </c>
      <c r="F26" s="97" t="s">
        <v>227</v>
      </c>
      <c r="G26" s="97"/>
      <c r="H26" s="97"/>
      <c r="I26" s="97"/>
      <c r="J26" s="97"/>
    </row>
    <row r="27" spans="2:10" x14ac:dyDescent="0.25">
      <c r="B27" s="90" t="s">
        <v>228</v>
      </c>
      <c r="C27" s="90">
        <v>1</v>
      </c>
      <c r="D27" s="99">
        <v>30</v>
      </c>
      <c r="E27" s="100">
        <v>0.5</v>
      </c>
      <c r="F27" s="101">
        <v>15</v>
      </c>
      <c r="G27" s="90">
        <f>(B24/D27)*E27*30</f>
        <v>891.12</v>
      </c>
      <c r="H27" s="90">
        <f t="shared" ref="H27:H38" si="2">G27/12</f>
        <v>74.260000000000005</v>
      </c>
      <c r="I27" s="102"/>
      <c r="J27" s="94"/>
    </row>
    <row r="28" spans="2:10" x14ac:dyDescent="0.25">
      <c r="B28" s="90" t="s">
        <v>229</v>
      </c>
      <c r="C28" s="90">
        <v>1</v>
      </c>
      <c r="D28" s="99">
        <v>1</v>
      </c>
      <c r="E28" s="103">
        <v>1</v>
      </c>
      <c r="F28" s="101">
        <v>1</v>
      </c>
      <c r="G28" s="90">
        <f>(B24/D28)/30</f>
        <v>59.408000000000001</v>
      </c>
      <c r="H28" s="90">
        <f t="shared" si="2"/>
        <v>4.9506666666666668</v>
      </c>
      <c r="I28" s="102"/>
      <c r="J28" s="94"/>
    </row>
    <row r="29" spans="2:10" x14ac:dyDescent="0.25">
      <c r="B29" s="91" t="s">
        <v>230</v>
      </c>
      <c r="C29" s="91">
        <v>9.2200000000000004E-2</v>
      </c>
      <c r="D29" s="104">
        <v>15</v>
      </c>
      <c r="E29" s="105">
        <v>0.5</v>
      </c>
      <c r="F29" s="106">
        <v>0.69130000000000003</v>
      </c>
      <c r="G29" s="90">
        <f>G28*F29</f>
        <v>41.068750399999999</v>
      </c>
      <c r="H29" s="91">
        <f t="shared" si="2"/>
        <v>3.4223958666666667</v>
      </c>
      <c r="I29" s="102"/>
      <c r="J29" s="94"/>
    </row>
    <row r="30" spans="2:10" x14ac:dyDescent="0.25">
      <c r="B30" s="90" t="s">
        <v>231</v>
      </c>
      <c r="C30" s="90">
        <v>1</v>
      </c>
      <c r="D30" s="99">
        <v>5</v>
      </c>
      <c r="E30" s="100">
        <v>0.5</v>
      </c>
      <c r="F30" s="101">
        <v>2.5</v>
      </c>
      <c r="G30" s="90">
        <f>G28*F30</f>
        <v>148.52000000000001</v>
      </c>
      <c r="H30" s="90">
        <f t="shared" si="2"/>
        <v>12.376666666666667</v>
      </c>
      <c r="I30" s="102"/>
      <c r="J30" s="94"/>
    </row>
    <row r="31" spans="2:10" x14ac:dyDescent="0.25">
      <c r="B31" s="90" t="s">
        <v>232</v>
      </c>
      <c r="C31" s="90">
        <v>0.1522</v>
      </c>
      <c r="D31" s="99">
        <v>2</v>
      </c>
      <c r="E31" s="103">
        <v>1</v>
      </c>
      <c r="F31" s="101">
        <v>0.3044</v>
      </c>
      <c r="G31" s="90">
        <f>G28*F31</f>
        <v>18.083795200000001</v>
      </c>
      <c r="H31" s="90">
        <f t="shared" si="2"/>
        <v>1.5069829333333333</v>
      </c>
      <c r="I31" s="102"/>
      <c r="J31" s="94"/>
    </row>
    <row r="32" spans="2:10" x14ac:dyDescent="0.25">
      <c r="B32" s="90" t="s">
        <v>233</v>
      </c>
      <c r="C32" s="90">
        <v>3.09E-2</v>
      </c>
      <c r="D32" s="99">
        <v>2</v>
      </c>
      <c r="E32" s="100">
        <v>0.5</v>
      </c>
      <c r="F32" s="101">
        <v>3.09E-2</v>
      </c>
      <c r="G32" s="90">
        <f>G28*F32</f>
        <v>1.8357072000000001</v>
      </c>
      <c r="H32" s="90">
        <f t="shared" si="2"/>
        <v>0.15297560000000002</v>
      </c>
      <c r="I32" s="102"/>
      <c r="J32" s="94"/>
    </row>
    <row r="33" spans="2:10" x14ac:dyDescent="0.25">
      <c r="B33" s="90" t="s">
        <v>234</v>
      </c>
      <c r="C33" s="90">
        <v>1.23E-2</v>
      </c>
      <c r="D33" s="99">
        <v>3</v>
      </c>
      <c r="E33" s="103">
        <v>0.5</v>
      </c>
      <c r="F33" s="101">
        <v>1.8499999999999999E-2</v>
      </c>
      <c r="G33" s="90">
        <f>G28*F33</f>
        <v>1.099048</v>
      </c>
      <c r="H33" s="90">
        <f t="shared" si="2"/>
        <v>9.158733333333334E-2</v>
      </c>
      <c r="I33" s="102"/>
      <c r="J33" s="94"/>
    </row>
    <row r="34" spans="2:10" x14ac:dyDescent="0.25">
      <c r="B34" s="90" t="s">
        <v>235</v>
      </c>
      <c r="C34" s="90">
        <v>0.02</v>
      </c>
      <c r="D34" s="99">
        <v>1</v>
      </c>
      <c r="E34" s="103">
        <v>1</v>
      </c>
      <c r="F34" s="101">
        <v>0.02</v>
      </c>
      <c r="G34" s="90">
        <f>G28*F34</f>
        <v>1.1881600000000001</v>
      </c>
      <c r="H34" s="90">
        <f t="shared" si="2"/>
        <v>9.9013333333333342E-2</v>
      </c>
      <c r="I34" s="102"/>
      <c r="J34" s="94"/>
    </row>
    <row r="35" spans="2:10" x14ac:dyDescent="0.25">
      <c r="B35" s="90" t="s">
        <v>236</v>
      </c>
      <c r="C35" s="90">
        <v>4.0000000000000001E-3</v>
      </c>
      <c r="D35" s="99">
        <v>1</v>
      </c>
      <c r="E35" s="103">
        <v>1</v>
      </c>
      <c r="F35" s="101">
        <v>4.0000000000000001E-3</v>
      </c>
      <c r="G35" s="90">
        <f>G28*F35</f>
        <v>0.23763200000000001</v>
      </c>
      <c r="H35" s="90">
        <f t="shared" si="2"/>
        <v>1.9802666666666666E-2</v>
      </c>
      <c r="I35" s="102"/>
      <c r="J35" s="94"/>
    </row>
    <row r="36" spans="2:10" x14ac:dyDescent="0.25">
      <c r="B36" s="91" t="s">
        <v>237</v>
      </c>
      <c r="C36" s="91">
        <v>3.2099999999999997E-2</v>
      </c>
      <c r="D36" s="104">
        <v>20</v>
      </c>
      <c r="E36" s="105">
        <v>0.5</v>
      </c>
      <c r="F36" s="106">
        <v>0.32129999999999997</v>
      </c>
      <c r="G36" s="91">
        <f>G28*F36</f>
        <v>19.087790399999999</v>
      </c>
      <c r="H36" s="91">
        <f t="shared" si="2"/>
        <v>1.5906491999999999</v>
      </c>
      <c r="I36" s="102"/>
      <c r="J36" s="94"/>
    </row>
    <row r="37" spans="2:10" x14ac:dyDescent="0.25">
      <c r="B37" s="91" t="s">
        <v>238</v>
      </c>
      <c r="C37" s="91">
        <v>2.8E-3</v>
      </c>
      <c r="D37" s="104">
        <v>180</v>
      </c>
      <c r="E37" s="105">
        <v>0.5</v>
      </c>
      <c r="F37" s="106">
        <v>0.24959999999999999</v>
      </c>
      <c r="G37" s="91">
        <f>G28*F37</f>
        <v>14.828236799999999</v>
      </c>
      <c r="H37" s="91">
        <f t="shared" si="2"/>
        <v>1.2356863999999999</v>
      </c>
      <c r="I37" s="102"/>
      <c r="J37" s="94"/>
    </row>
    <row r="38" spans="2:10" x14ac:dyDescent="0.25">
      <c r="B38" s="90" t="s">
        <v>239</v>
      </c>
      <c r="C38" s="90">
        <v>2.0000000000000001E-4</v>
      </c>
      <c r="D38" s="99">
        <v>6</v>
      </c>
      <c r="E38" s="103">
        <v>1</v>
      </c>
      <c r="F38" s="101">
        <v>1.4E-3</v>
      </c>
      <c r="G38" s="90">
        <f>G28*F38</f>
        <v>8.3171200000000001E-2</v>
      </c>
      <c r="H38" s="90">
        <f t="shared" si="2"/>
        <v>6.9309333333333334E-3</v>
      </c>
      <c r="I38" s="102"/>
      <c r="J38" s="94"/>
    </row>
    <row r="39" spans="2:10" x14ac:dyDescent="0.25">
      <c r="B39" s="94"/>
      <c r="C39" s="94"/>
      <c r="D39" s="99"/>
      <c r="E39" s="94"/>
      <c r="F39" s="107">
        <f>SUM(F27:F38)</f>
        <v>20.141400000000001</v>
      </c>
      <c r="G39" s="90">
        <v>59.41</v>
      </c>
      <c r="H39" s="90">
        <f>G39*F39</f>
        <v>1196.6005740000001</v>
      </c>
      <c r="I39" s="102">
        <f>H39/12</f>
        <v>99.716714500000009</v>
      </c>
      <c r="J39" s="94"/>
    </row>
    <row r="40" spans="2:10" x14ac:dyDescent="0.25">
      <c r="B40" s="94"/>
      <c r="C40" s="94"/>
      <c r="D40" s="99"/>
      <c r="E40" s="94"/>
      <c r="F40" s="94"/>
      <c r="G40" s="94"/>
      <c r="H40" s="94"/>
      <c r="I40" s="102">
        <f>H29</f>
        <v>3.4223958666666667</v>
      </c>
      <c r="J40" s="94"/>
    </row>
    <row r="41" spans="2:10" x14ac:dyDescent="0.25">
      <c r="B41" s="94"/>
      <c r="C41" s="94"/>
      <c r="D41" s="99"/>
      <c r="E41" s="94"/>
      <c r="F41" s="94"/>
      <c r="G41" s="94"/>
      <c r="H41" s="94"/>
      <c r="I41" s="102">
        <f>H36</f>
        <v>1.5906491999999999</v>
      </c>
      <c r="J41" s="94"/>
    </row>
    <row r="42" spans="2:10" x14ac:dyDescent="0.25">
      <c r="B42" s="94"/>
      <c r="C42" s="94"/>
      <c r="D42" s="99"/>
      <c r="E42" s="94"/>
      <c r="F42" s="94"/>
      <c r="G42" s="94"/>
      <c r="H42" s="94"/>
      <c r="I42" s="102">
        <f>H37</f>
        <v>1.2356863999999999</v>
      </c>
      <c r="J42" s="94"/>
    </row>
    <row r="43" spans="2:10" x14ac:dyDescent="0.25">
      <c r="B43" s="94"/>
      <c r="C43" s="94"/>
      <c r="D43" s="99"/>
      <c r="E43" s="94"/>
      <c r="F43" s="94"/>
      <c r="G43" s="94"/>
      <c r="H43" s="94"/>
      <c r="I43" s="108">
        <f>I39-I40-I41-I42</f>
        <v>93.46798303333334</v>
      </c>
      <c r="J43" s="94"/>
    </row>
    <row r="44" spans="2:10" x14ac:dyDescent="0.25">
      <c r="B44" s="94"/>
      <c r="C44" s="94"/>
      <c r="D44" s="99"/>
      <c r="E44" s="94"/>
      <c r="F44" s="94"/>
      <c r="G44" s="94"/>
      <c r="H44" s="94"/>
      <c r="I44" s="94"/>
      <c r="J44" s="94"/>
    </row>
    <row r="47" spans="2:10" x14ac:dyDescent="0.25">
      <c r="B47" s="95">
        <v>1782.24</v>
      </c>
    </row>
    <row r="48" spans="2:10" s="41" customFormat="1" x14ac:dyDescent="0.25">
      <c r="D48" s="42"/>
      <c r="E48" s="202" t="s">
        <v>248</v>
      </c>
      <c r="F48" s="202"/>
    </row>
    <row r="49" spans="2:10" s="41" customFormat="1" ht="30" x14ac:dyDescent="0.25">
      <c r="B49" s="92" t="s">
        <v>223</v>
      </c>
      <c r="C49" s="97" t="s">
        <v>224</v>
      </c>
      <c r="D49" s="98" t="s">
        <v>225</v>
      </c>
      <c r="E49" s="97" t="s">
        <v>226</v>
      </c>
      <c r="F49" s="97" t="s">
        <v>227</v>
      </c>
      <c r="G49" s="97"/>
      <c r="H49" s="97"/>
      <c r="I49" s="97"/>
      <c r="J49" s="97"/>
    </row>
    <row r="50" spans="2:10" x14ac:dyDescent="0.25">
      <c r="B50" s="90" t="s">
        <v>228</v>
      </c>
      <c r="C50" s="90">
        <v>1</v>
      </c>
      <c r="D50" s="99">
        <v>30</v>
      </c>
      <c r="E50" s="100">
        <v>0.5</v>
      </c>
      <c r="F50" s="101">
        <v>15</v>
      </c>
      <c r="G50" s="90">
        <f>(B47/D50)*E50*30</f>
        <v>891.12</v>
      </c>
      <c r="H50" s="90">
        <f t="shared" ref="H50:H61" si="3">G50/12</f>
        <v>74.260000000000005</v>
      </c>
      <c r="I50" s="102"/>
      <c r="J50" s="94"/>
    </row>
    <row r="51" spans="2:10" x14ac:dyDescent="0.25">
      <c r="B51" s="90" t="s">
        <v>229</v>
      </c>
      <c r="C51" s="90">
        <v>1</v>
      </c>
      <c r="D51" s="99">
        <v>1</v>
      </c>
      <c r="E51" s="103">
        <v>1</v>
      </c>
      <c r="F51" s="101">
        <v>1</v>
      </c>
      <c r="G51" s="90">
        <f>(B47/D51)/30</f>
        <v>59.408000000000001</v>
      </c>
      <c r="H51" s="90">
        <f t="shared" si="3"/>
        <v>4.9506666666666668</v>
      </c>
      <c r="I51" s="102"/>
      <c r="J51" s="94"/>
    </row>
    <row r="52" spans="2:10" x14ac:dyDescent="0.25">
      <c r="B52" s="91" t="s">
        <v>230</v>
      </c>
      <c r="C52" s="91">
        <v>9.2200000000000004E-2</v>
      </c>
      <c r="D52" s="104">
        <v>15</v>
      </c>
      <c r="E52" s="105">
        <v>0.5</v>
      </c>
      <c r="F52" s="106">
        <v>0.69130000000000003</v>
      </c>
      <c r="G52" s="90">
        <f>G51*F52</f>
        <v>41.068750399999999</v>
      </c>
      <c r="H52" s="91">
        <f t="shared" si="3"/>
        <v>3.4223958666666667</v>
      </c>
      <c r="I52" s="102"/>
      <c r="J52" s="94"/>
    </row>
    <row r="53" spans="2:10" x14ac:dyDescent="0.25">
      <c r="B53" s="90" t="s">
        <v>231</v>
      </c>
      <c r="C53" s="90">
        <v>1</v>
      </c>
      <c r="D53" s="99">
        <v>5</v>
      </c>
      <c r="E53" s="100">
        <v>0.5</v>
      </c>
      <c r="F53" s="101">
        <v>2.5</v>
      </c>
      <c r="G53" s="90">
        <f>G51*F53</f>
        <v>148.52000000000001</v>
      </c>
      <c r="H53" s="90">
        <f t="shared" si="3"/>
        <v>12.376666666666667</v>
      </c>
      <c r="I53" s="102"/>
      <c r="J53" s="94"/>
    </row>
    <row r="54" spans="2:10" x14ac:dyDescent="0.25">
      <c r="B54" s="90" t="s">
        <v>232</v>
      </c>
      <c r="C54" s="90">
        <v>0.1522</v>
      </c>
      <c r="D54" s="99">
        <v>2</v>
      </c>
      <c r="E54" s="103">
        <v>1</v>
      </c>
      <c r="F54" s="101">
        <v>0.3044</v>
      </c>
      <c r="G54" s="90">
        <f>G51*F54</f>
        <v>18.083795200000001</v>
      </c>
      <c r="H54" s="90">
        <f t="shared" si="3"/>
        <v>1.5069829333333333</v>
      </c>
      <c r="I54" s="102"/>
      <c r="J54" s="94"/>
    </row>
    <row r="55" spans="2:10" x14ac:dyDescent="0.25">
      <c r="B55" s="90" t="s">
        <v>233</v>
      </c>
      <c r="C55" s="90">
        <v>3.09E-2</v>
      </c>
      <c r="D55" s="99">
        <v>2</v>
      </c>
      <c r="E55" s="100">
        <v>0.5</v>
      </c>
      <c r="F55" s="101">
        <v>3.09E-2</v>
      </c>
      <c r="G55" s="90">
        <f>G51*F55</f>
        <v>1.8357072000000001</v>
      </c>
      <c r="H55" s="90">
        <f t="shared" si="3"/>
        <v>0.15297560000000002</v>
      </c>
      <c r="I55" s="102"/>
      <c r="J55" s="94"/>
    </row>
    <row r="56" spans="2:10" x14ac:dyDescent="0.25">
      <c r="B56" s="90" t="s">
        <v>234</v>
      </c>
      <c r="C56" s="90">
        <v>1.23E-2</v>
      </c>
      <c r="D56" s="99">
        <v>3</v>
      </c>
      <c r="E56" s="103">
        <v>0.5</v>
      </c>
      <c r="F56" s="101">
        <v>1.8499999999999999E-2</v>
      </c>
      <c r="G56" s="90">
        <f>G51*F56</f>
        <v>1.099048</v>
      </c>
      <c r="H56" s="90">
        <f t="shared" si="3"/>
        <v>9.158733333333334E-2</v>
      </c>
      <c r="I56" s="102"/>
      <c r="J56" s="94"/>
    </row>
    <row r="57" spans="2:10" x14ac:dyDescent="0.25">
      <c r="B57" s="90" t="s">
        <v>235</v>
      </c>
      <c r="C57" s="90">
        <v>0.02</v>
      </c>
      <c r="D57" s="99">
        <v>1</v>
      </c>
      <c r="E57" s="103">
        <v>1</v>
      </c>
      <c r="F57" s="101">
        <v>0.02</v>
      </c>
      <c r="G57" s="90">
        <f>G51*F57</f>
        <v>1.1881600000000001</v>
      </c>
      <c r="H57" s="90">
        <f t="shared" si="3"/>
        <v>9.9013333333333342E-2</v>
      </c>
      <c r="I57" s="102"/>
      <c r="J57" s="94"/>
    </row>
    <row r="58" spans="2:10" x14ac:dyDescent="0.25">
      <c r="B58" s="90" t="s">
        <v>236</v>
      </c>
      <c r="C58" s="90">
        <v>4.0000000000000001E-3</v>
      </c>
      <c r="D58" s="99">
        <v>1</v>
      </c>
      <c r="E58" s="103">
        <v>1</v>
      </c>
      <c r="F58" s="101">
        <v>4.0000000000000001E-3</v>
      </c>
      <c r="G58" s="90">
        <f>G51*F58</f>
        <v>0.23763200000000001</v>
      </c>
      <c r="H58" s="90">
        <f t="shared" si="3"/>
        <v>1.9802666666666666E-2</v>
      </c>
      <c r="I58" s="102"/>
      <c r="J58" s="94"/>
    </row>
    <row r="59" spans="2:10" x14ac:dyDescent="0.25">
      <c r="B59" s="91" t="s">
        <v>237</v>
      </c>
      <c r="C59" s="91">
        <v>3.2099999999999997E-2</v>
      </c>
      <c r="D59" s="104">
        <v>20</v>
      </c>
      <c r="E59" s="105">
        <v>0.5</v>
      </c>
      <c r="F59" s="106">
        <v>0.32129999999999997</v>
      </c>
      <c r="G59" s="91">
        <f>G51*F59</f>
        <v>19.087790399999999</v>
      </c>
      <c r="H59" s="91">
        <f t="shared" si="3"/>
        <v>1.5906491999999999</v>
      </c>
      <c r="I59" s="102"/>
      <c r="J59" s="94"/>
    </row>
    <row r="60" spans="2:10" x14ac:dyDescent="0.25">
      <c r="B60" s="91" t="s">
        <v>238</v>
      </c>
      <c r="C60" s="91">
        <v>2.8E-3</v>
      </c>
      <c r="D60" s="104">
        <v>180</v>
      </c>
      <c r="E60" s="105">
        <v>0.5</v>
      </c>
      <c r="F60" s="106">
        <v>0.24959999999999999</v>
      </c>
      <c r="G60" s="91">
        <f>G51*F60</f>
        <v>14.828236799999999</v>
      </c>
      <c r="H60" s="91">
        <f t="shared" si="3"/>
        <v>1.2356863999999999</v>
      </c>
      <c r="I60" s="102"/>
      <c r="J60" s="94"/>
    </row>
    <row r="61" spans="2:10" x14ac:dyDescent="0.25">
      <c r="B61" s="90" t="s">
        <v>239</v>
      </c>
      <c r="C61" s="90">
        <v>2.0000000000000001E-4</v>
      </c>
      <c r="D61" s="99">
        <v>6</v>
      </c>
      <c r="E61" s="103">
        <v>1</v>
      </c>
      <c r="F61" s="101">
        <v>1.4E-3</v>
      </c>
      <c r="G61" s="90">
        <f>G51*F61</f>
        <v>8.3171200000000001E-2</v>
      </c>
      <c r="H61" s="90">
        <f t="shared" si="3"/>
        <v>6.9309333333333334E-3</v>
      </c>
      <c r="I61" s="102"/>
      <c r="J61" s="94"/>
    </row>
    <row r="62" spans="2:10" x14ac:dyDescent="0.25">
      <c r="B62" s="94"/>
      <c r="C62" s="94"/>
      <c r="D62" s="99"/>
      <c r="E62" s="94"/>
      <c r="F62" s="107">
        <f>SUM(F50:F61)</f>
        <v>20.141400000000001</v>
      </c>
      <c r="G62" s="90">
        <v>59.41</v>
      </c>
      <c r="H62" s="90">
        <f>G62*F62</f>
        <v>1196.6005740000001</v>
      </c>
      <c r="I62" s="102">
        <f>H62/12</f>
        <v>99.716714500000009</v>
      </c>
      <c r="J62" s="94"/>
    </row>
    <row r="63" spans="2:10" x14ac:dyDescent="0.25">
      <c r="B63" s="94"/>
      <c r="C63" s="94"/>
      <c r="D63" s="99"/>
      <c r="E63" s="94"/>
      <c r="F63" s="94"/>
      <c r="G63" s="94"/>
      <c r="H63" s="94"/>
      <c r="I63" s="102">
        <f>H52</f>
        <v>3.4223958666666667</v>
      </c>
      <c r="J63" s="94"/>
    </row>
    <row r="64" spans="2:10" x14ac:dyDescent="0.25">
      <c r="B64" s="94"/>
      <c r="C64" s="94"/>
      <c r="D64" s="99"/>
      <c r="E64" s="94"/>
      <c r="F64" s="94"/>
      <c r="G64" s="94"/>
      <c r="H64" s="94"/>
      <c r="I64" s="102">
        <f>H59</f>
        <v>1.5906491999999999</v>
      </c>
      <c r="J64" s="94"/>
    </row>
    <row r="65" spans="2:10" x14ac:dyDescent="0.25">
      <c r="B65" s="94"/>
      <c r="C65" s="94"/>
      <c r="D65" s="99"/>
      <c r="E65" s="94"/>
      <c r="F65" s="94"/>
      <c r="G65" s="94"/>
      <c r="H65" s="94"/>
      <c r="I65" s="102">
        <f>H60</f>
        <v>1.2356863999999999</v>
      </c>
      <c r="J65" s="94"/>
    </row>
    <row r="66" spans="2:10" x14ac:dyDescent="0.25">
      <c r="B66" s="94"/>
      <c r="C66" s="94"/>
      <c r="D66" s="99"/>
      <c r="E66" s="94"/>
      <c r="F66" s="94"/>
      <c r="G66" s="94"/>
      <c r="H66" s="94"/>
      <c r="I66" s="108">
        <f>I62-I63-I64-I65</f>
        <v>93.46798303333334</v>
      </c>
      <c r="J66" s="94"/>
    </row>
    <row r="67" spans="2:10" x14ac:dyDescent="0.25">
      <c r="B67" s="94"/>
      <c r="C67" s="94"/>
      <c r="D67" s="99"/>
      <c r="E67" s="94"/>
      <c r="F67" s="94"/>
      <c r="G67" s="94"/>
      <c r="H67" s="94"/>
      <c r="I67" s="94"/>
      <c r="J67" s="94"/>
    </row>
    <row r="71" spans="2:10" x14ac:dyDescent="0.25">
      <c r="B71" s="95">
        <v>2036.38</v>
      </c>
    </row>
    <row r="72" spans="2:10" s="41" customFormat="1" x14ac:dyDescent="0.25">
      <c r="D72" s="42"/>
      <c r="E72" s="202" t="s">
        <v>250</v>
      </c>
      <c r="F72" s="202"/>
    </row>
    <row r="73" spans="2:10" s="41" customFormat="1" ht="30" x14ac:dyDescent="0.25">
      <c r="B73" s="92" t="s">
        <v>223</v>
      </c>
      <c r="C73" s="97" t="s">
        <v>224</v>
      </c>
      <c r="D73" s="98" t="s">
        <v>225</v>
      </c>
      <c r="E73" s="97" t="s">
        <v>226</v>
      </c>
      <c r="F73" s="97" t="s">
        <v>227</v>
      </c>
      <c r="G73" s="97"/>
      <c r="H73" s="97"/>
      <c r="I73" s="97"/>
      <c r="J73" s="97"/>
    </row>
    <row r="74" spans="2:10" x14ac:dyDescent="0.25">
      <c r="B74" s="90" t="s">
        <v>228</v>
      </c>
      <c r="C74" s="90">
        <v>1</v>
      </c>
      <c r="D74" s="99">
        <v>30</v>
      </c>
      <c r="E74" s="100">
        <v>0.5</v>
      </c>
      <c r="F74" s="101">
        <v>15</v>
      </c>
      <c r="G74" s="90">
        <f>(B71/D74)*E74*30</f>
        <v>1018.19</v>
      </c>
      <c r="H74" s="90">
        <f t="shared" ref="H74:H85" si="4">G74/12</f>
        <v>84.849166666666676</v>
      </c>
      <c r="I74" s="102"/>
      <c r="J74" s="94"/>
    </row>
    <row r="75" spans="2:10" x14ac:dyDescent="0.25">
      <c r="B75" s="90" t="s">
        <v>229</v>
      </c>
      <c r="C75" s="90">
        <v>1</v>
      </c>
      <c r="D75" s="99">
        <v>1</v>
      </c>
      <c r="E75" s="103">
        <v>1</v>
      </c>
      <c r="F75" s="101">
        <v>1</v>
      </c>
      <c r="G75" s="90">
        <f>(B71/D75)/30</f>
        <v>67.879333333333335</v>
      </c>
      <c r="H75" s="90">
        <f t="shared" si="4"/>
        <v>5.6566111111111113</v>
      </c>
      <c r="I75" s="102"/>
      <c r="J75" s="94"/>
    </row>
    <row r="76" spans="2:10" x14ac:dyDescent="0.25">
      <c r="B76" s="91" t="s">
        <v>230</v>
      </c>
      <c r="C76" s="91">
        <v>9.2200000000000004E-2</v>
      </c>
      <c r="D76" s="104">
        <v>15</v>
      </c>
      <c r="E76" s="105">
        <v>0.5</v>
      </c>
      <c r="F76" s="106">
        <v>0.69130000000000003</v>
      </c>
      <c r="G76" s="90">
        <f>G75*F76</f>
        <v>46.924983133333335</v>
      </c>
      <c r="H76" s="91">
        <f t="shared" si="4"/>
        <v>3.9104152611111114</v>
      </c>
      <c r="I76" s="102"/>
      <c r="J76" s="94"/>
    </row>
    <row r="77" spans="2:10" x14ac:dyDescent="0.25">
      <c r="B77" s="90" t="s">
        <v>231</v>
      </c>
      <c r="C77" s="90">
        <v>1</v>
      </c>
      <c r="D77" s="99">
        <v>5</v>
      </c>
      <c r="E77" s="100">
        <v>0.5</v>
      </c>
      <c r="F77" s="101">
        <v>2.5</v>
      </c>
      <c r="G77" s="90">
        <f>G75*F77</f>
        <v>169.69833333333332</v>
      </c>
      <c r="H77" s="90">
        <f t="shared" si="4"/>
        <v>14.141527777777776</v>
      </c>
      <c r="I77" s="102"/>
      <c r="J77" s="94"/>
    </row>
    <row r="78" spans="2:10" x14ac:dyDescent="0.25">
      <c r="B78" s="90" t="s">
        <v>232</v>
      </c>
      <c r="C78" s="90">
        <v>0.1522</v>
      </c>
      <c r="D78" s="99">
        <v>2</v>
      </c>
      <c r="E78" s="103">
        <v>1</v>
      </c>
      <c r="F78" s="101">
        <v>0.3044</v>
      </c>
      <c r="G78" s="90">
        <f>G75*F78</f>
        <v>20.662469066666667</v>
      </c>
      <c r="H78" s="90">
        <f t="shared" si="4"/>
        <v>1.7218724222222221</v>
      </c>
      <c r="I78" s="102"/>
      <c r="J78" s="94"/>
    </row>
    <row r="79" spans="2:10" x14ac:dyDescent="0.25">
      <c r="B79" s="90" t="s">
        <v>233</v>
      </c>
      <c r="C79" s="90">
        <v>3.09E-2</v>
      </c>
      <c r="D79" s="99">
        <v>2</v>
      </c>
      <c r="E79" s="100">
        <v>0.5</v>
      </c>
      <c r="F79" s="101">
        <v>3.09E-2</v>
      </c>
      <c r="G79" s="90">
        <f>G75*F79</f>
        <v>2.0974713999999999</v>
      </c>
      <c r="H79" s="90">
        <f t="shared" si="4"/>
        <v>0.17478928333333332</v>
      </c>
      <c r="I79" s="102"/>
      <c r="J79" s="94"/>
    </row>
    <row r="80" spans="2:10" x14ac:dyDescent="0.25">
      <c r="B80" s="90" t="s">
        <v>234</v>
      </c>
      <c r="C80" s="90">
        <v>1.23E-2</v>
      </c>
      <c r="D80" s="99">
        <v>3</v>
      </c>
      <c r="E80" s="103">
        <v>0.5</v>
      </c>
      <c r="F80" s="101">
        <v>1.8499999999999999E-2</v>
      </c>
      <c r="G80" s="90">
        <f>G75*F80</f>
        <v>1.2557676666666666</v>
      </c>
      <c r="H80" s="90">
        <f t="shared" si="4"/>
        <v>0.10464730555555556</v>
      </c>
      <c r="I80" s="102"/>
      <c r="J80" s="94"/>
    </row>
    <row r="81" spans="2:10" x14ac:dyDescent="0.25">
      <c r="B81" s="90" t="s">
        <v>235</v>
      </c>
      <c r="C81" s="90">
        <v>0.02</v>
      </c>
      <c r="D81" s="99">
        <v>1</v>
      </c>
      <c r="E81" s="103">
        <v>1</v>
      </c>
      <c r="F81" s="101">
        <v>0.02</v>
      </c>
      <c r="G81" s="90">
        <f>G75*F81</f>
        <v>1.3575866666666667</v>
      </c>
      <c r="H81" s="90">
        <f t="shared" si="4"/>
        <v>0.11313222222222223</v>
      </c>
      <c r="I81" s="102"/>
      <c r="J81" s="94"/>
    </row>
    <row r="82" spans="2:10" x14ac:dyDescent="0.25">
      <c r="B82" s="90" t="s">
        <v>236</v>
      </c>
      <c r="C82" s="90">
        <v>4.0000000000000001E-3</v>
      </c>
      <c r="D82" s="99">
        <v>1</v>
      </c>
      <c r="E82" s="103">
        <v>1</v>
      </c>
      <c r="F82" s="101">
        <v>4.0000000000000001E-3</v>
      </c>
      <c r="G82" s="90">
        <f>G75*F82</f>
        <v>0.27151733333333333</v>
      </c>
      <c r="H82" s="90">
        <f t="shared" si="4"/>
        <v>2.2626444444444446E-2</v>
      </c>
      <c r="I82" s="102"/>
      <c r="J82" s="94"/>
    </row>
    <row r="83" spans="2:10" x14ac:dyDescent="0.25">
      <c r="B83" s="91" t="s">
        <v>237</v>
      </c>
      <c r="C83" s="91">
        <v>3.2099999999999997E-2</v>
      </c>
      <c r="D83" s="104">
        <v>20</v>
      </c>
      <c r="E83" s="105">
        <v>0.5</v>
      </c>
      <c r="F83" s="106">
        <v>0.32129999999999997</v>
      </c>
      <c r="G83" s="91">
        <f>G75*F83</f>
        <v>21.8096298</v>
      </c>
      <c r="H83" s="91">
        <f t="shared" si="4"/>
        <v>1.81746915</v>
      </c>
      <c r="I83" s="102"/>
      <c r="J83" s="94"/>
    </row>
    <row r="84" spans="2:10" x14ac:dyDescent="0.25">
      <c r="B84" s="91" t="s">
        <v>238</v>
      </c>
      <c r="C84" s="91">
        <v>2.8E-3</v>
      </c>
      <c r="D84" s="104">
        <v>180</v>
      </c>
      <c r="E84" s="105">
        <v>0.5</v>
      </c>
      <c r="F84" s="106">
        <v>0.24959999999999999</v>
      </c>
      <c r="G84" s="91">
        <f>G75*F84</f>
        <v>16.9426816</v>
      </c>
      <c r="H84" s="91">
        <f t="shared" si="4"/>
        <v>1.4118901333333334</v>
      </c>
      <c r="I84" s="102"/>
      <c r="J84" s="94"/>
    </row>
    <row r="85" spans="2:10" x14ac:dyDescent="0.25">
      <c r="B85" s="90" t="s">
        <v>239</v>
      </c>
      <c r="C85" s="90">
        <v>2.0000000000000001E-4</v>
      </c>
      <c r="D85" s="99">
        <v>6</v>
      </c>
      <c r="E85" s="103">
        <v>1</v>
      </c>
      <c r="F85" s="101">
        <v>1.4E-3</v>
      </c>
      <c r="G85" s="90">
        <f>G75*F85</f>
        <v>9.5031066666666664E-2</v>
      </c>
      <c r="H85" s="90">
        <f t="shared" si="4"/>
        <v>7.9192555555555547E-3</v>
      </c>
      <c r="I85" s="102"/>
      <c r="J85" s="94"/>
    </row>
    <row r="86" spans="2:10" x14ac:dyDescent="0.25">
      <c r="B86" s="94"/>
      <c r="C86" s="94"/>
      <c r="D86" s="99"/>
      <c r="E86" s="94"/>
      <c r="F86" s="107">
        <f>SUM(F74:F85)</f>
        <v>20.141400000000001</v>
      </c>
      <c r="G86" s="90">
        <v>76.88</v>
      </c>
      <c r="H86" s="90">
        <f>G86*F86</f>
        <v>1548.470832</v>
      </c>
      <c r="I86" s="102">
        <f>H86/12</f>
        <v>129.03923599999999</v>
      </c>
      <c r="J86" s="94"/>
    </row>
    <row r="87" spans="2:10" x14ac:dyDescent="0.25">
      <c r="B87" s="94"/>
      <c r="C87" s="94"/>
      <c r="D87" s="99"/>
      <c r="E87" s="94"/>
      <c r="F87" s="94"/>
      <c r="G87" s="94"/>
      <c r="H87" s="94"/>
      <c r="I87" s="102">
        <f>H76</f>
        <v>3.9104152611111114</v>
      </c>
      <c r="J87" s="94"/>
    </row>
    <row r="88" spans="2:10" x14ac:dyDescent="0.25">
      <c r="B88" s="94"/>
      <c r="C88" s="94"/>
      <c r="D88" s="99"/>
      <c r="E88" s="94"/>
      <c r="F88" s="94"/>
      <c r="G88" s="94"/>
      <c r="H88" s="94"/>
      <c r="I88" s="102">
        <f>H83</f>
        <v>1.81746915</v>
      </c>
      <c r="J88" s="94"/>
    </row>
    <row r="89" spans="2:10" x14ac:dyDescent="0.25">
      <c r="B89" s="94"/>
      <c r="C89" s="94"/>
      <c r="D89" s="99"/>
      <c r="E89" s="94"/>
      <c r="F89" s="94"/>
      <c r="G89" s="94"/>
      <c r="H89" s="94"/>
      <c r="I89" s="102">
        <f>H84</f>
        <v>1.4118901333333334</v>
      </c>
      <c r="J89" s="94"/>
    </row>
    <row r="90" spans="2:10" x14ac:dyDescent="0.25">
      <c r="B90" s="94"/>
      <c r="C90" s="94"/>
      <c r="D90" s="99"/>
      <c r="E90" s="94"/>
      <c r="F90" s="94"/>
      <c r="G90" s="94"/>
      <c r="H90" s="94"/>
      <c r="I90" s="108">
        <f>I86-I87-I88-I89</f>
        <v>121.89946145555555</v>
      </c>
      <c r="J90" s="94"/>
    </row>
    <row r="91" spans="2:10" x14ac:dyDescent="0.25">
      <c r="B91" s="94"/>
      <c r="C91" s="94"/>
      <c r="D91" s="99"/>
      <c r="E91" s="94"/>
      <c r="F91" s="94"/>
      <c r="G91" s="94"/>
      <c r="H91" s="94"/>
      <c r="I91" s="94"/>
      <c r="J91" s="94"/>
    </row>
    <row r="95" spans="2:10" x14ac:dyDescent="0.25">
      <c r="B95" s="95">
        <v>2198.4</v>
      </c>
    </row>
    <row r="96" spans="2:10" s="41" customFormat="1" x14ac:dyDescent="0.25">
      <c r="D96" s="42"/>
      <c r="E96" s="202" t="s">
        <v>249</v>
      </c>
      <c r="F96" s="202"/>
    </row>
    <row r="97" spans="2:10" s="41" customFormat="1" ht="30" x14ac:dyDescent="0.25">
      <c r="B97" s="92" t="s">
        <v>223</v>
      </c>
      <c r="C97" s="97" t="s">
        <v>224</v>
      </c>
      <c r="D97" s="98" t="s">
        <v>225</v>
      </c>
      <c r="E97" s="97" t="s">
        <v>226</v>
      </c>
      <c r="F97" s="97" t="s">
        <v>227</v>
      </c>
      <c r="G97" s="97"/>
      <c r="H97" s="97"/>
      <c r="I97" s="97"/>
      <c r="J97" s="97"/>
    </row>
    <row r="98" spans="2:10" x14ac:dyDescent="0.25">
      <c r="B98" s="90" t="s">
        <v>228</v>
      </c>
      <c r="C98" s="90">
        <v>1</v>
      </c>
      <c r="D98" s="99">
        <v>30</v>
      </c>
      <c r="E98" s="100">
        <v>0.5</v>
      </c>
      <c r="F98" s="101">
        <v>15</v>
      </c>
      <c r="G98" s="90">
        <f>(B95/D98)*E98*30</f>
        <v>1099.2</v>
      </c>
      <c r="H98" s="90">
        <f t="shared" ref="H98:H109" si="5">G98/12</f>
        <v>91.600000000000009</v>
      </c>
      <c r="I98" s="102"/>
      <c r="J98" s="94"/>
    </row>
    <row r="99" spans="2:10" x14ac:dyDescent="0.25">
      <c r="B99" s="90" t="s">
        <v>229</v>
      </c>
      <c r="C99" s="90">
        <v>1</v>
      </c>
      <c r="D99" s="99">
        <v>1</v>
      </c>
      <c r="E99" s="103">
        <v>1</v>
      </c>
      <c r="F99" s="101">
        <v>1</v>
      </c>
      <c r="G99" s="90">
        <f>(B95/D99)/30</f>
        <v>73.28</v>
      </c>
      <c r="H99" s="90">
        <f t="shared" si="5"/>
        <v>6.1066666666666665</v>
      </c>
      <c r="I99" s="102"/>
      <c r="J99" s="94"/>
    </row>
    <row r="100" spans="2:10" x14ac:dyDescent="0.25">
      <c r="B100" s="91" t="s">
        <v>230</v>
      </c>
      <c r="C100" s="91">
        <v>9.2200000000000004E-2</v>
      </c>
      <c r="D100" s="104">
        <v>15</v>
      </c>
      <c r="E100" s="105">
        <v>0.5</v>
      </c>
      <c r="F100" s="106">
        <v>0.69130000000000003</v>
      </c>
      <c r="G100" s="90">
        <f>G99*F100</f>
        <v>50.658464000000002</v>
      </c>
      <c r="H100" s="91">
        <f t="shared" si="5"/>
        <v>4.2215386666666666</v>
      </c>
      <c r="I100" s="102"/>
      <c r="J100" s="94"/>
    </row>
    <row r="101" spans="2:10" x14ac:dyDescent="0.25">
      <c r="B101" s="90" t="s">
        <v>231</v>
      </c>
      <c r="C101" s="90">
        <v>1</v>
      </c>
      <c r="D101" s="99">
        <v>5</v>
      </c>
      <c r="E101" s="100">
        <v>0.5</v>
      </c>
      <c r="F101" s="101">
        <v>2.5</v>
      </c>
      <c r="G101" s="90">
        <f>G99*F101</f>
        <v>183.2</v>
      </c>
      <c r="H101" s="90">
        <f t="shared" si="5"/>
        <v>15.266666666666666</v>
      </c>
      <c r="I101" s="102"/>
      <c r="J101" s="94"/>
    </row>
    <row r="102" spans="2:10" x14ac:dyDescent="0.25">
      <c r="B102" s="90" t="s">
        <v>232</v>
      </c>
      <c r="C102" s="90">
        <v>0.1522</v>
      </c>
      <c r="D102" s="99">
        <v>2</v>
      </c>
      <c r="E102" s="103">
        <v>1</v>
      </c>
      <c r="F102" s="101">
        <v>0.3044</v>
      </c>
      <c r="G102" s="90">
        <f>G99*F102</f>
        <v>22.306432000000001</v>
      </c>
      <c r="H102" s="90">
        <f t="shared" si="5"/>
        <v>1.8588693333333335</v>
      </c>
      <c r="I102" s="102"/>
      <c r="J102" s="94"/>
    </row>
    <row r="103" spans="2:10" x14ac:dyDescent="0.25">
      <c r="B103" s="90" t="s">
        <v>233</v>
      </c>
      <c r="C103" s="90">
        <v>3.09E-2</v>
      </c>
      <c r="D103" s="99">
        <v>2</v>
      </c>
      <c r="E103" s="100">
        <v>0.5</v>
      </c>
      <c r="F103" s="101">
        <v>3.09E-2</v>
      </c>
      <c r="G103" s="90">
        <f>G99*F103</f>
        <v>2.2643520000000001</v>
      </c>
      <c r="H103" s="90">
        <f t="shared" si="5"/>
        <v>0.188696</v>
      </c>
      <c r="I103" s="102"/>
      <c r="J103" s="94"/>
    </row>
    <row r="104" spans="2:10" x14ac:dyDescent="0.25">
      <c r="B104" s="90" t="s">
        <v>234</v>
      </c>
      <c r="C104" s="90">
        <v>1.23E-2</v>
      </c>
      <c r="D104" s="99">
        <v>3</v>
      </c>
      <c r="E104" s="103">
        <v>0.5</v>
      </c>
      <c r="F104" s="101">
        <v>1.8499999999999999E-2</v>
      </c>
      <c r="G104" s="90">
        <f>G99*F104</f>
        <v>1.35568</v>
      </c>
      <c r="H104" s="90">
        <f t="shared" si="5"/>
        <v>0.11297333333333333</v>
      </c>
      <c r="I104" s="102"/>
      <c r="J104" s="94"/>
    </row>
    <row r="105" spans="2:10" x14ac:dyDescent="0.25">
      <c r="B105" s="90" t="s">
        <v>235</v>
      </c>
      <c r="C105" s="90">
        <v>0.02</v>
      </c>
      <c r="D105" s="99">
        <v>1</v>
      </c>
      <c r="E105" s="103">
        <v>1</v>
      </c>
      <c r="F105" s="101">
        <v>0.02</v>
      </c>
      <c r="G105" s="90">
        <f>G99*F105</f>
        <v>1.4656</v>
      </c>
      <c r="H105" s="90">
        <f t="shared" si="5"/>
        <v>0.12213333333333333</v>
      </c>
      <c r="I105" s="102"/>
      <c r="J105" s="94"/>
    </row>
    <row r="106" spans="2:10" x14ac:dyDescent="0.25">
      <c r="B106" s="90" t="s">
        <v>236</v>
      </c>
      <c r="C106" s="90">
        <v>4.0000000000000001E-3</v>
      </c>
      <c r="D106" s="99">
        <v>1</v>
      </c>
      <c r="E106" s="103">
        <v>1</v>
      </c>
      <c r="F106" s="101">
        <v>4.0000000000000001E-3</v>
      </c>
      <c r="G106" s="90">
        <f>G99*F106</f>
        <v>0.29311999999999999</v>
      </c>
      <c r="H106" s="90">
        <f t="shared" si="5"/>
        <v>2.4426666666666666E-2</v>
      </c>
      <c r="I106" s="102"/>
      <c r="J106" s="94"/>
    </row>
    <row r="107" spans="2:10" x14ac:dyDescent="0.25">
      <c r="B107" s="91" t="s">
        <v>237</v>
      </c>
      <c r="C107" s="91">
        <v>3.2099999999999997E-2</v>
      </c>
      <c r="D107" s="104">
        <v>20</v>
      </c>
      <c r="E107" s="105">
        <v>0.5</v>
      </c>
      <c r="F107" s="106">
        <v>0.32129999999999997</v>
      </c>
      <c r="G107" s="91">
        <f>G99*F107</f>
        <v>23.544863999999997</v>
      </c>
      <c r="H107" s="91">
        <f t="shared" si="5"/>
        <v>1.9620719999999998</v>
      </c>
      <c r="I107" s="102"/>
      <c r="J107" s="94"/>
    </row>
    <row r="108" spans="2:10" x14ac:dyDescent="0.25">
      <c r="B108" s="91" t="s">
        <v>238</v>
      </c>
      <c r="C108" s="91">
        <v>2.8E-3</v>
      </c>
      <c r="D108" s="104">
        <v>180</v>
      </c>
      <c r="E108" s="105">
        <v>0.5</v>
      </c>
      <c r="F108" s="106">
        <v>0.24959999999999999</v>
      </c>
      <c r="G108" s="91">
        <f>G99*F108</f>
        <v>18.290687999999999</v>
      </c>
      <c r="H108" s="91">
        <f t="shared" si="5"/>
        <v>1.524224</v>
      </c>
      <c r="I108" s="102"/>
      <c r="J108" s="94"/>
    </row>
    <row r="109" spans="2:10" x14ac:dyDescent="0.25">
      <c r="B109" s="90" t="s">
        <v>239</v>
      </c>
      <c r="C109" s="90">
        <v>2.0000000000000001E-4</v>
      </c>
      <c r="D109" s="99">
        <v>6</v>
      </c>
      <c r="E109" s="103">
        <v>1</v>
      </c>
      <c r="F109" s="101">
        <v>1.4E-3</v>
      </c>
      <c r="G109" s="90">
        <f>G99*F109</f>
        <v>0.102592</v>
      </c>
      <c r="H109" s="90">
        <f t="shared" si="5"/>
        <v>8.5493333333333341E-3</v>
      </c>
      <c r="I109" s="102"/>
      <c r="J109" s="94"/>
    </row>
    <row r="110" spans="2:10" x14ac:dyDescent="0.25">
      <c r="B110" s="94"/>
      <c r="C110" s="94"/>
      <c r="D110" s="99"/>
      <c r="E110" s="94"/>
      <c r="F110" s="107">
        <f>SUM(F98:F109)</f>
        <v>20.141400000000001</v>
      </c>
      <c r="G110" s="90">
        <v>73.28</v>
      </c>
      <c r="H110" s="90">
        <f>G110*F110</f>
        <v>1475.9617920000001</v>
      </c>
      <c r="I110" s="102">
        <f>H110/12</f>
        <v>122.99681600000001</v>
      </c>
      <c r="J110" s="94"/>
    </row>
    <row r="111" spans="2:10" x14ac:dyDescent="0.25">
      <c r="B111" s="94"/>
      <c r="C111" s="94"/>
      <c r="D111" s="99"/>
      <c r="E111" s="94"/>
      <c r="F111" s="94"/>
      <c r="G111" s="94"/>
      <c r="H111" s="94"/>
      <c r="I111" s="102">
        <f>H100</f>
        <v>4.2215386666666666</v>
      </c>
      <c r="J111" s="94"/>
    </row>
    <row r="112" spans="2:10" x14ac:dyDescent="0.25">
      <c r="B112" s="94"/>
      <c r="C112" s="94"/>
      <c r="D112" s="99"/>
      <c r="E112" s="94"/>
      <c r="F112" s="94"/>
      <c r="G112" s="94"/>
      <c r="H112" s="94"/>
      <c r="I112" s="102">
        <f>H107</f>
        <v>1.9620719999999998</v>
      </c>
      <c r="J112" s="94"/>
    </row>
    <row r="113" spans="2:10" x14ac:dyDescent="0.25">
      <c r="B113" s="94"/>
      <c r="C113" s="94"/>
      <c r="D113" s="99"/>
      <c r="E113" s="94"/>
      <c r="F113" s="94"/>
      <c r="G113" s="94"/>
      <c r="H113" s="94"/>
      <c r="I113" s="102">
        <f>H108</f>
        <v>1.524224</v>
      </c>
      <c r="J113" s="94"/>
    </row>
    <row r="114" spans="2:10" x14ac:dyDescent="0.25">
      <c r="B114" s="94"/>
      <c r="C114" s="94"/>
      <c r="D114" s="99"/>
      <c r="E114" s="94"/>
      <c r="F114" s="94"/>
      <c r="G114" s="94"/>
      <c r="H114" s="94"/>
      <c r="I114" s="108">
        <f>I110-I111-I112-I113</f>
        <v>115.28898133333334</v>
      </c>
      <c r="J114" s="94"/>
    </row>
    <row r="115" spans="2:10" x14ac:dyDescent="0.25">
      <c r="B115" s="94"/>
      <c r="C115" s="94"/>
      <c r="D115" s="99"/>
      <c r="E115" s="94"/>
      <c r="F115" s="94"/>
      <c r="G115" s="94"/>
      <c r="H115" s="94"/>
      <c r="I115" s="94"/>
      <c r="J115" s="94"/>
    </row>
  </sheetData>
  <mergeCells count="5">
    <mergeCell ref="E96:F96"/>
    <mergeCell ref="E3:F3"/>
    <mergeCell ref="E25:F25"/>
    <mergeCell ref="E48:F48"/>
    <mergeCell ref="E72:F72"/>
  </mergeCells>
  <pageMargins left="0.51181102362204722" right="0.51181102362204722" top="0.78740157480314965" bottom="0.78740157480314965" header="0.31496062992125984" footer="0.31496062992125984"/>
  <pageSetup paperSize="9" scale="26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24"/>
  <sheetViews>
    <sheetView showGridLines="0" topLeftCell="A16" zoomScaleNormal="100" workbookViewId="0">
      <selection activeCell="M9" activeCellId="1" sqref="M21 M9"/>
    </sheetView>
  </sheetViews>
  <sheetFormatPr defaultRowHeight="15" x14ac:dyDescent="0.25"/>
  <cols>
    <col min="1" max="1" width="3.140625" customWidth="1"/>
    <col min="2" max="2" width="6.42578125" customWidth="1"/>
    <col min="3" max="3" width="31.28515625" customWidth="1"/>
    <col min="4" max="4" width="0" hidden="1" customWidth="1"/>
    <col min="5" max="5" width="8.5703125" bestFit="1" customWidth="1"/>
    <col min="6" max="6" width="8.28515625" customWidth="1"/>
    <col min="7" max="7" width="7.42578125" customWidth="1"/>
    <col min="8" max="8" width="12.140625" bestFit="1" customWidth="1"/>
    <col min="9" max="9" width="13.7109375" hidden="1" customWidth="1"/>
    <col min="10" max="10" width="10.7109375" bestFit="1" customWidth="1"/>
    <col min="11" max="11" width="9" customWidth="1"/>
    <col min="12" max="12" width="10.5703125" customWidth="1"/>
    <col min="13" max="13" width="11.140625" customWidth="1"/>
    <col min="14" max="14" width="11.42578125" customWidth="1"/>
    <col min="15" max="15" width="13.5703125" customWidth="1"/>
    <col min="16" max="16" width="11.42578125" customWidth="1"/>
    <col min="17" max="17" width="14.140625" customWidth="1"/>
  </cols>
  <sheetData>
    <row r="2" spans="1:17" ht="18.75" x14ac:dyDescent="0.25">
      <c r="B2" s="15"/>
    </row>
    <row r="3" spans="1:17" ht="18.75" x14ac:dyDescent="0.25">
      <c r="B3" s="227" t="s">
        <v>167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9"/>
    </row>
    <row r="4" spans="1:17" ht="76.5" x14ac:dyDescent="0.25">
      <c r="B4" s="13" t="s">
        <v>79</v>
      </c>
      <c r="C4" s="14" t="s">
        <v>78</v>
      </c>
      <c r="D4" s="14" t="s">
        <v>77</v>
      </c>
      <c r="E4" s="13" t="s">
        <v>76</v>
      </c>
      <c r="F4" s="13" t="s">
        <v>75</v>
      </c>
      <c r="G4" s="13" t="s">
        <v>138</v>
      </c>
      <c r="H4" s="13" t="s">
        <v>73</v>
      </c>
      <c r="I4" s="13" t="s">
        <v>72</v>
      </c>
      <c r="J4" s="13" t="s">
        <v>71</v>
      </c>
      <c r="K4" s="13" t="s">
        <v>70</v>
      </c>
      <c r="L4" s="13" t="s">
        <v>69</v>
      </c>
      <c r="M4" s="13" t="s">
        <v>139</v>
      </c>
    </row>
    <row r="5" spans="1:17" x14ac:dyDescent="0.25">
      <c r="B5" s="9">
        <v>1</v>
      </c>
      <c r="C5" s="34" t="s">
        <v>140</v>
      </c>
      <c r="D5" s="7" t="s">
        <v>166</v>
      </c>
      <c r="E5" s="7">
        <v>10</v>
      </c>
      <c r="F5" s="38">
        <v>0.1</v>
      </c>
      <c r="G5" s="7">
        <v>1</v>
      </c>
      <c r="H5" s="6">
        <f>(1600+1150+1200)/3</f>
        <v>1316.6666666666667</v>
      </c>
      <c r="I5" s="4"/>
      <c r="J5" s="5">
        <f>H5-I5</f>
        <v>1316.6666666666667</v>
      </c>
      <c r="K5" s="4">
        <f>(J5*F5)/12</f>
        <v>10.972222222222223</v>
      </c>
      <c r="L5" s="4">
        <f>(J5*0.5%)</f>
        <v>6.5833333333333339</v>
      </c>
      <c r="M5" s="3">
        <f>K5+L5</f>
        <v>17.555555555555557</v>
      </c>
    </row>
    <row r="6" spans="1:17" ht="75" x14ac:dyDescent="0.25">
      <c r="B6" s="9">
        <v>2</v>
      </c>
      <c r="C6" s="37" t="s">
        <v>147</v>
      </c>
      <c r="D6" s="7">
        <v>8525</v>
      </c>
      <c r="E6" s="7">
        <v>5</v>
      </c>
      <c r="F6" s="38">
        <v>0.2</v>
      </c>
      <c r="G6" s="7">
        <v>1</v>
      </c>
      <c r="H6" s="6">
        <v>1680</v>
      </c>
      <c r="I6" s="4"/>
      <c r="J6" s="5">
        <f>H6-I6</f>
        <v>1680</v>
      </c>
      <c r="K6" s="4">
        <f>(J6*F6)/12</f>
        <v>28</v>
      </c>
      <c r="L6" s="4">
        <f>(J6*0.5%)</f>
        <v>8.4</v>
      </c>
      <c r="M6" s="3">
        <f>K6+L6</f>
        <v>36.4</v>
      </c>
    </row>
    <row r="7" spans="1:17" ht="30" x14ac:dyDescent="0.25">
      <c r="B7" s="9">
        <v>3</v>
      </c>
      <c r="C7" s="37" t="s">
        <v>150</v>
      </c>
      <c r="D7" s="8">
        <v>9005</v>
      </c>
      <c r="E7" s="8">
        <v>10</v>
      </c>
      <c r="F7" s="43">
        <v>0.1</v>
      </c>
      <c r="G7" s="7">
        <v>1</v>
      </c>
      <c r="H7" s="6">
        <v>2250</v>
      </c>
      <c r="I7" s="4"/>
      <c r="J7" s="5">
        <f>H7-I7</f>
        <v>2250</v>
      </c>
      <c r="K7" s="4">
        <f>(J7*F7)/12</f>
        <v>18.75</v>
      </c>
      <c r="L7" s="4">
        <f>(J7*0.5%)</f>
        <v>11.25</v>
      </c>
      <c r="M7" s="3">
        <f>K7+L7</f>
        <v>30</v>
      </c>
    </row>
    <row r="8" spans="1:17" x14ac:dyDescent="0.25">
      <c r="C8" s="233" t="s">
        <v>68</v>
      </c>
      <c r="D8" s="234"/>
      <c r="E8" s="234"/>
      <c r="F8" s="234"/>
      <c r="G8" s="234"/>
      <c r="H8" s="234"/>
      <c r="I8" s="234"/>
      <c r="J8" s="234"/>
      <c r="K8" s="234"/>
      <c r="L8" s="235"/>
      <c r="M8" s="1">
        <f>SUM(M5:M7)</f>
        <v>83.955555555555549</v>
      </c>
    </row>
    <row r="9" spans="1:17" x14ac:dyDescent="0.25">
      <c r="C9" s="233" t="s">
        <v>141</v>
      </c>
      <c r="D9" s="234"/>
      <c r="E9" s="234"/>
      <c r="F9" s="234"/>
      <c r="G9" s="234"/>
      <c r="H9" s="234"/>
      <c r="I9" s="234"/>
      <c r="J9" s="234"/>
      <c r="K9" s="234"/>
      <c r="L9" s="235"/>
      <c r="M9" s="1">
        <f>M8/29</f>
        <v>2.8950191570881225</v>
      </c>
    </row>
    <row r="11" spans="1:17" ht="18.75" x14ac:dyDescent="0.25">
      <c r="B11" s="15"/>
    </row>
    <row r="12" spans="1:17" ht="18.75" x14ac:dyDescent="0.25">
      <c r="B12" s="227" t="s">
        <v>168</v>
      </c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9"/>
    </row>
    <row r="13" spans="1:17" ht="153" x14ac:dyDescent="0.25">
      <c r="B13" s="13" t="s">
        <v>79</v>
      </c>
      <c r="C13" s="14" t="s">
        <v>78</v>
      </c>
      <c r="D13" s="14" t="s">
        <v>77</v>
      </c>
      <c r="E13" s="13" t="s">
        <v>169</v>
      </c>
      <c r="F13" s="13" t="s">
        <v>75</v>
      </c>
      <c r="G13" s="13" t="s">
        <v>74</v>
      </c>
      <c r="H13" s="13" t="s">
        <v>73</v>
      </c>
      <c r="I13" s="52" t="s">
        <v>72</v>
      </c>
      <c r="J13" s="13" t="s">
        <v>71</v>
      </c>
      <c r="K13" s="13" t="s">
        <v>70</v>
      </c>
      <c r="L13" s="13" t="s">
        <v>69</v>
      </c>
      <c r="M13" s="13" t="s">
        <v>152</v>
      </c>
      <c r="N13" s="13" t="s">
        <v>153</v>
      </c>
      <c r="O13" s="13" t="s">
        <v>151</v>
      </c>
      <c r="P13" s="13" t="s">
        <v>154</v>
      </c>
      <c r="Q13" s="13" t="s">
        <v>155</v>
      </c>
    </row>
    <row r="14" spans="1:17" s="2" customFormat="1" ht="45" x14ac:dyDescent="0.25">
      <c r="A14" s="10"/>
      <c r="B14" s="9">
        <v>1</v>
      </c>
      <c r="C14" s="11" t="s">
        <v>157</v>
      </c>
      <c r="D14" s="7">
        <v>8303</v>
      </c>
      <c r="E14" s="7">
        <v>10</v>
      </c>
      <c r="F14" s="38">
        <v>0.1</v>
      </c>
      <c r="G14" s="7">
        <v>1</v>
      </c>
      <c r="H14" s="12">
        <v>1300</v>
      </c>
      <c r="I14" s="4"/>
      <c r="J14" s="5">
        <f t="shared" ref="J14:J19" si="0">H14-I14</f>
        <v>1300</v>
      </c>
      <c r="K14" s="4">
        <f t="shared" ref="K14:K19" si="1">(J14*F14)/12</f>
        <v>10.833333333333334</v>
      </c>
      <c r="L14" s="4">
        <v>0</v>
      </c>
      <c r="M14" s="3">
        <f>K14+L14</f>
        <v>10.833333333333334</v>
      </c>
      <c r="N14" s="3">
        <f>K14+L14</f>
        <v>10.833333333333334</v>
      </c>
      <c r="O14" s="3">
        <f>K14+L14</f>
        <v>10.833333333333334</v>
      </c>
      <c r="P14" s="3">
        <f>K14+L14</f>
        <v>10.833333333333334</v>
      </c>
      <c r="Q14" s="3">
        <f t="shared" ref="Q14:Q19" si="2">K14+L14</f>
        <v>10.833333333333334</v>
      </c>
    </row>
    <row r="15" spans="1:17" s="2" customFormat="1" ht="30" x14ac:dyDescent="0.25">
      <c r="A15" s="10"/>
      <c r="B15" s="9">
        <v>2</v>
      </c>
      <c r="C15" s="11" t="s">
        <v>158</v>
      </c>
      <c r="D15" s="7" t="s">
        <v>149</v>
      </c>
      <c r="E15" s="7">
        <v>10</v>
      </c>
      <c r="F15" s="38">
        <v>0.1</v>
      </c>
      <c r="G15" s="7">
        <v>1</v>
      </c>
      <c r="H15" s="4">
        <f>(3612.6+3750.3+3400)/3</f>
        <v>3587.6333333333332</v>
      </c>
      <c r="I15" s="4"/>
      <c r="J15" s="5">
        <f t="shared" si="0"/>
        <v>3587.6333333333332</v>
      </c>
      <c r="K15" s="4">
        <f t="shared" si="1"/>
        <v>29.896944444444443</v>
      </c>
      <c r="L15" s="4">
        <f>(J15*0.5%)</f>
        <v>17.938166666666667</v>
      </c>
      <c r="M15" s="3">
        <f>K15+L15</f>
        <v>47.835111111111111</v>
      </c>
      <c r="N15" s="3">
        <f>K15+L15</f>
        <v>47.835111111111111</v>
      </c>
      <c r="O15" s="3">
        <f>K15+L15</f>
        <v>47.835111111111111</v>
      </c>
      <c r="P15" s="3">
        <f>K15+L15</f>
        <v>47.835111111111111</v>
      </c>
      <c r="Q15" s="3">
        <f t="shared" si="2"/>
        <v>47.835111111111111</v>
      </c>
    </row>
    <row r="16" spans="1:17" s="2" customFormat="1" ht="45" x14ac:dyDescent="0.25">
      <c r="A16" s="10"/>
      <c r="B16" s="9">
        <v>3</v>
      </c>
      <c r="C16" s="11" t="s">
        <v>159</v>
      </c>
      <c r="D16" s="7">
        <v>8525</v>
      </c>
      <c r="E16" s="7">
        <v>5</v>
      </c>
      <c r="F16" s="38">
        <v>0.2</v>
      </c>
      <c r="G16" s="7">
        <v>1</v>
      </c>
      <c r="H16" s="6">
        <v>1680</v>
      </c>
      <c r="I16" s="4"/>
      <c r="J16" s="5">
        <f t="shared" si="0"/>
        <v>1680</v>
      </c>
      <c r="K16" s="4">
        <f t="shared" si="1"/>
        <v>28</v>
      </c>
      <c r="L16" s="4">
        <f>(J16*0.5%)</f>
        <v>8.4</v>
      </c>
      <c r="M16" s="3">
        <f>K16+L16</f>
        <v>36.4</v>
      </c>
      <c r="N16" s="3">
        <f>K16+L16</f>
        <v>36.4</v>
      </c>
      <c r="O16" s="3">
        <f>K16+L16</f>
        <v>36.4</v>
      </c>
      <c r="P16" s="3">
        <f>K16+L16</f>
        <v>36.4</v>
      </c>
      <c r="Q16" s="3">
        <f t="shared" si="2"/>
        <v>36.4</v>
      </c>
    </row>
    <row r="17" spans="1:17" s="2" customFormat="1" ht="105" x14ac:dyDescent="0.25">
      <c r="A17" s="10"/>
      <c r="B17" s="9">
        <v>4</v>
      </c>
      <c r="C17" s="46" t="s">
        <v>160</v>
      </c>
      <c r="D17" s="7">
        <v>8475</v>
      </c>
      <c r="E17" s="7">
        <v>5</v>
      </c>
      <c r="F17" s="38">
        <v>0.2</v>
      </c>
      <c r="G17" s="7">
        <v>1</v>
      </c>
      <c r="H17" s="6">
        <v>122</v>
      </c>
      <c r="I17" s="4"/>
      <c r="J17" s="5">
        <f t="shared" si="0"/>
        <v>122</v>
      </c>
      <c r="K17" s="4">
        <f t="shared" si="1"/>
        <v>2.0333333333333337</v>
      </c>
      <c r="L17" s="4">
        <f>(J17*0.5%)</f>
        <v>0.61</v>
      </c>
      <c r="M17" s="3" t="s">
        <v>149</v>
      </c>
      <c r="N17" s="3" t="s">
        <v>149</v>
      </c>
      <c r="O17" s="3" t="s">
        <v>149</v>
      </c>
      <c r="P17" s="3">
        <f>K17+L17</f>
        <v>2.6433333333333335</v>
      </c>
      <c r="Q17" s="3">
        <f t="shared" si="2"/>
        <v>2.6433333333333335</v>
      </c>
    </row>
    <row r="18" spans="1:17" s="2" customFormat="1" ht="105" x14ac:dyDescent="0.25">
      <c r="A18" s="10"/>
      <c r="B18" s="9">
        <v>5</v>
      </c>
      <c r="C18" s="46" t="s">
        <v>170</v>
      </c>
      <c r="D18" s="7">
        <v>8471</v>
      </c>
      <c r="E18" s="7">
        <v>5</v>
      </c>
      <c r="F18" s="38">
        <v>0.2</v>
      </c>
      <c r="G18" s="7">
        <v>1</v>
      </c>
      <c r="H18" s="6">
        <v>1250</v>
      </c>
      <c r="I18" s="4"/>
      <c r="J18" s="5">
        <f t="shared" si="0"/>
        <v>1250</v>
      </c>
      <c r="K18" s="4">
        <f t="shared" si="1"/>
        <v>20.833333333333332</v>
      </c>
      <c r="L18" s="4">
        <f>(J18*0.5%)</f>
        <v>6.25</v>
      </c>
      <c r="M18" s="3" t="s">
        <v>149</v>
      </c>
      <c r="N18" s="3">
        <f>K18+L18</f>
        <v>27.083333333333332</v>
      </c>
      <c r="O18" s="3">
        <f>K18+L18</f>
        <v>27.083333333333332</v>
      </c>
      <c r="P18" s="3" t="s">
        <v>149</v>
      </c>
      <c r="Q18" s="3">
        <f t="shared" si="2"/>
        <v>27.083333333333332</v>
      </c>
    </row>
    <row r="19" spans="1:17" s="2" customFormat="1" ht="60" x14ac:dyDescent="0.25">
      <c r="A19" s="10"/>
      <c r="B19" s="9">
        <v>6</v>
      </c>
      <c r="C19" s="46" t="s">
        <v>161</v>
      </c>
      <c r="D19" s="7">
        <v>8177</v>
      </c>
      <c r="E19" s="7">
        <v>5</v>
      </c>
      <c r="F19" s="38">
        <v>0.25</v>
      </c>
      <c r="G19" s="7">
        <v>1</v>
      </c>
      <c r="H19" s="6">
        <v>13500</v>
      </c>
      <c r="I19" s="4">
        <v>8500</v>
      </c>
      <c r="J19" s="5">
        <f t="shared" si="0"/>
        <v>5000</v>
      </c>
      <c r="K19" s="4">
        <f t="shared" si="1"/>
        <v>104.16666666666667</v>
      </c>
      <c r="L19" s="33">
        <f>'USO MOTO'!Q13</f>
        <v>442.95238095238096</v>
      </c>
      <c r="M19" s="3" t="s">
        <v>149</v>
      </c>
      <c r="N19" s="3">
        <f>K19+L19</f>
        <v>547.11904761904759</v>
      </c>
      <c r="O19" s="3">
        <f>K19+L19</f>
        <v>547.11904761904759</v>
      </c>
      <c r="P19" s="3" t="s">
        <v>149</v>
      </c>
      <c r="Q19" s="3">
        <f t="shared" si="2"/>
        <v>547.11904761904759</v>
      </c>
    </row>
    <row r="20" spans="1:17" x14ac:dyDescent="0.25">
      <c r="C20" s="239" t="s">
        <v>68</v>
      </c>
      <c r="D20" s="240"/>
      <c r="E20" s="240"/>
      <c r="F20" s="240"/>
      <c r="G20" s="240"/>
      <c r="H20" s="240"/>
      <c r="I20" s="240"/>
      <c r="J20" s="240"/>
      <c r="K20" s="240"/>
      <c r="L20" s="241"/>
      <c r="M20" s="1">
        <f>SUM(M14:M19)</f>
        <v>95.068444444444452</v>
      </c>
      <c r="N20" s="1">
        <f t="shared" ref="N20:Q20" si="3">SUM(N14:N19)</f>
        <v>669.27082539682533</v>
      </c>
      <c r="O20" s="1">
        <f t="shared" si="3"/>
        <v>669.27082539682533</v>
      </c>
      <c r="P20" s="1">
        <f t="shared" si="3"/>
        <v>97.711777777777783</v>
      </c>
      <c r="Q20" s="1">
        <f t="shared" si="3"/>
        <v>671.91415873015876</v>
      </c>
    </row>
    <row r="21" spans="1:17" x14ac:dyDescent="0.25">
      <c r="C21" s="233" t="s">
        <v>156</v>
      </c>
      <c r="D21" s="234"/>
      <c r="E21" s="234"/>
      <c r="F21" s="234"/>
      <c r="G21" s="234"/>
      <c r="H21" s="234"/>
      <c r="I21" s="234"/>
      <c r="J21" s="234"/>
      <c r="K21" s="234"/>
      <c r="L21" s="235"/>
      <c r="M21" s="1">
        <f>M20/2</f>
        <v>47.534222222222226</v>
      </c>
      <c r="N21" s="1">
        <f>N20/2</f>
        <v>334.63541269841267</v>
      </c>
      <c r="O21" s="1">
        <f>O20/1</f>
        <v>669.27082539682533</v>
      </c>
      <c r="P21" s="1">
        <f>P20/2</f>
        <v>48.855888888888892</v>
      </c>
      <c r="Q21" s="1">
        <f>Q20/2</f>
        <v>335.95707936507938</v>
      </c>
    </row>
    <row r="23" spans="1:17" s="44" customFormat="1" ht="17.25" x14ac:dyDescent="0.3">
      <c r="C23" s="236" t="s">
        <v>148</v>
      </c>
      <c r="D23" s="237"/>
      <c r="E23" s="237"/>
      <c r="F23" s="237"/>
      <c r="G23" s="237"/>
      <c r="H23" s="237"/>
      <c r="I23" s="237"/>
      <c r="J23" s="237"/>
      <c r="K23" s="237"/>
      <c r="L23" s="238"/>
      <c r="M23" s="45">
        <f>M21+M9</f>
        <v>50.429241379310348</v>
      </c>
      <c r="N23" s="45">
        <f>N21+M9</f>
        <v>337.53043185550081</v>
      </c>
      <c r="O23" s="45">
        <f>O21+M9</f>
        <v>672.16584455391342</v>
      </c>
      <c r="P23" s="45">
        <f>P21+M9</f>
        <v>51.750908045977013</v>
      </c>
      <c r="Q23" s="45">
        <f>Q21+M9</f>
        <v>338.85209852216752</v>
      </c>
    </row>
    <row r="24" spans="1:17" x14ac:dyDescent="0.25">
      <c r="J24" s="28"/>
      <c r="K24" s="36"/>
    </row>
  </sheetData>
  <mergeCells count="7">
    <mergeCell ref="C23:L23"/>
    <mergeCell ref="B3:M3"/>
    <mergeCell ref="C8:L8"/>
    <mergeCell ref="C9:L9"/>
    <mergeCell ref="B12:Q12"/>
    <mergeCell ref="C20:L20"/>
    <mergeCell ref="C21:L21"/>
  </mergeCells>
  <dataValidations count="1">
    <dataValidation allowBlank="1" showInputMessage="1" showErrorMessage="1" promptTitle="ALERTA" prompt="FAVOR INFORMAR DESCRIÇÃO DO VEÍCULO CONFORME DEFINIDO NO MEMORIAL DESCRITIVO (ESPECIFICAÇÕES TÉCNICAS)." sqref="C19 C5"/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26"/>
  <sheetViews>
    <sheetView showGridLines="0" topLeftCell="A10" zoomScale="110" zoomScaleNormal="110" workbookViewId="0">
      <selection activeCell="Q13" sqref="Q13:Q15"/>
    </sheetView>
  </sheetViews>
  <sheetFormatPr defaultRowHeight="15" x14ac:dyDescent="0.25"/>
  <cols>
    <col min="1" max="1" width="2.140625" customWidth="1"/>
    <col min="2" max="2" width="11.7109375" customWidth="1"/>
    <col min="3" max="3" width="16.42578125" customWidth="1"/>
    <col min="4" max="6" width="9.7109375" customWidth="1"/>
    <col min="7" max="7" width="11.28515625" customWidth="1"/>
    <col min="8" max="11" width="9.7109375" customWidth="1"/>
    <col min="12" max="12" width="12.140625" customWidth="1"/>
    <col min="13" max="16" width="9.7109375" customWidth="1"/>
  </cols>
  <sheetData>
    <row r="2" spans="2:17" x14ac:dyDescent="0.25">
      <c r="B2" s="32" t="s">
        <v>127</v>
      </c>
    </row>
    <row r="5" spans="2:17" s="54" customFormat="1" ht="15.75" x14ac:dyDescent="0.25">
      <c r="B5" s="53" t="s">
        <v>172</v>
      </c>
    </row>
    <row r="6" spans="2:17" s="54" customFormat="1" ht="15.75" x14ac:dyDescent="0.25">
      <c r="O6"/>
    </row>
    <row r="7" spans="2:17" s="83" customFormat="1" ht="15.75" customHeight="1" x14ac:dyDescent="0.2">
      <c r="B7" s="63" t="s">
        <v>173</v>
      </c>
      <c r="C7" s="77"/>
      <c r="D7" s="89" t="s">
        <v>171</v>
      </c>
      <c r="E7" s="79"/>
      <c r="F7" s="80"/>
      <c r="G7" s="81"/>
      <c r="H7" s="82"/>
    </row>
    <row r="8" spans="2:17" s="83" customFormat="1" ht="12.75" x14ac:dyDescent="0.2">
      <c r="B8" s="63" t="s">
        <v>128</v>
      </c>
      <c r="C8" s="77"/>
      <c r="D8" s="78" t="s">
        <v>195</v>
      </c>
      <c r="E8" s="79"/>
      <c r="F8" s="80"/>
      <c r="G8" s="81"/>
      <c r="H8" s="82"/>
    </row>
    <row r="9" spans="2:17" s="83" customFormat="1" ht="12.75" x14ac:dyDescent="0.2">
      <c r="B9" s="63" t="s">
        <v>200</v>
      </c>
      <c r="C9" s="77"/>
      <c r="D9" s="84" t="s">
        <v>196</v>
      </c>
      <c r="E9" s="85"/>
      <c r="F9" s="86"/>
      <c r="G9" s="87"/>
      <c r="H9" s="82"/>
    </row>
    <row r="10" spans="2:17" s="83" customFormat="1" ht="12.75" x14ac:dyDescent="0.2">
      <c r="B10" s="64"/>
      <c r="C10" s="64"/>
      <c r="D10" s="64"/>
      <c r="E10" s="64"/>
      <c r="F10" s="64"/>
      <c r="G10" s="64"/>
    </row>
    <row r="11" spans="2:17" s="83" customFormat="1" ht="15.75" customHeight="1" x14ac:dyDescent="0.2">
      <c r="B11" s="246" t="s">
        <v>129</v>
      </c>
      <c r="C11" s="247"/>
      <c r="D11" s="247"/>
      <c r="E11" s="248"/>
      <c r="F11" s="249" t="s">
        <v>130</v>
      </c>
      <c r="G11" s="250"/>
      <c r="H11" s="250"/>
      <c r="I11" s="250"/>
      <c r="J11" s="250"/>
      <c r="K11" s="251"/>
      <c r="L11" s="252" t="s">
        <v>131</v>
      </c>
      <c r="M11" s="253"/>
      <c r="N11" s="253"/>
      <c r="O11" s="254"/>
      <c r="P11" s="244" t="s">
        <v>197</v>
      </c>
      <c r="Q11" s="244" t="s">
        <v>199</v>
      </c>
    </row>
    <row r="12" spans="2:17" s="83" customFormat="1" ht="51" x14ac:dyDescent="0.2">
      <c r="B12" s="65" t="s">
        <v>132</v>
      </c>
      <c r="C12" s="65" t="s">
        <v>177</v>
      </c>
      <c r="D12" s="65" t="s">
        <v>133</v>
      </c>
      <c r="E12" s="65" t="s">
        <v>178</v>
      </c>
      <c r="F12" s="65" t="s">
        <v>135</v>
      </c>
      <c r="G12" s="65" t="s">
        <v>186</v>
      </c>
      <c r="H12" s="65" t="s">
        <v>134</v>
      </c>
      <c r="I12" s="65" t="s">
        <v>178</v>
      </c>
      <c r="J12" s="65" t="s">
        <v>187</v>
      </c>
      <c r="K12" s="65" t="s">
        <v>179</v>
      </c>
      <c r="L12" s="65" t="s">
        <v>137</v>
      </c>
      <c r="M12" s="65" t="s">
        <v>192</v>
      </c>
      <c r="N12" s="65" t="s">
        <v>136</v>
      </c>
      <c r="O12" s="65" t="s">
        <v>178</v>
      </c>
      <c r="P12" s="245"/>
      <c r="Q12" s="245"/>
    </row>
    <row r="13" spans="2:17" s="83" customFormat="1" ht="12.75" x14ac:dyDescent="0.2">
      <c r="B13" s="66">
        <v>35</v>
      </c>
      <c r="C13" s="67">
        <f>100/35</f>
        <v>2.8571428571428572</v>
      </c>
      <c r="D13" s="68">
        <v>5</v>
      </c>
      <c r="E13" s="68">
        <f>C13*D13</f>
        <v>14.285714285714286</v>
      </c>
      <c r="F13" s="69">
        <v>25000</v>
      </c>
      <c r="G13" s="70">
        <f>100/25000</f>
        <v>4.0000000000000001E-3</v>
      </c>
      <c r="H13" s="71">
        <v>250</v>
      </c>
      <c r="I13" s="72">
        <f>G13*H13</f>
        <v>1</v>
      </c>
      <c r="J13" s="72">
        <f>I13*22</f>
        <v>22</v>
      </c>
      <c r="K13" s="69">
        <v>2</v>
      </c>
      <c r="L13" s="73">
        <v>6000</v>
      </c>
      <c r="M13" s="74">
        <f>100/6000</f>
        <v>1.6666666666666666E-2</v>
      </c>
      <c r="N13" s="75">
        <v>40</v>
      </c>
      <c r="O13" s="75">
        <f>M13*N13</f>
        <v>0.66666666666666663</v>
      </c>
      <c r="P13" s="68">
        <v>70</v>
      </c>
      <c r="Q13" s="242">
        <f>B14+F14+L14+P14</f>
        <v>442.95238095238096</v>
      </c>
    </row>
    <row r="14" spans="2:17" s="83" customFormat="1" ht="12.75" x14ac:dyDescent="0.2">
      <c r="B14" s="252">
        <f>E13*22</f>
        <v>314.28571428571428</v>
      </c>
      <c r="C14" s="253"/>
      <c r="D14" s="253"/>
      <c r="E14" s="254"/>
      <c r="F14" s="252">
        <f>J13*K13</f>
        <v>44</v>
      </c>
      <c r="G14" s="253"/>
      <c r="H14" s="253"/>
      <c r="I14" s="253"/>
      <c r="J14" s="253"/>
      <c r="K14" s="254"/>
      <c r="L14" s="252">
        <f>O13*22</f>
        <v>14.666666666666666</v>
      </c>
      <c r="M14" s="253"/>
      <c r="N14" s="253"/>
      <c r="O14" s="254"/>
      <c r="P14" s="76">
        <f>P13</f>
        <v>70</v>
      </c>
      <c r="Q14" s="243"/>
    </row>
    <row r="15" spans="2:17" s="83" customFormat="1" ht="12.75" x14ac:dyDescent="0.2">
      <c r="B15" s="84" t="s">
        <v>198</v>
      </c>
      <c r="C15" s="85"/>
      <c r="D15" s="85"/>
      <c r="E15" s="85"/>
      <c r="F15" s="85"/>
      <c r="G15" s="85"/>
      <c r="H15" s="85"/>
      <c r="I15" s="86"/>
      <c r="J15" s="86"/>
      <c r="K15" s="86"/>
      <c r="L15" s="85"/>
      <c r="M15" s="85"/>
      <c r="N15" s="85"/>
      <c r="O15" s="85"/>
      <c r="P15" s="88"/>
      <c r="Q15" s="243"/>
    </row>
    <row r="16" spans="2:17" x14ac:dyDescent="0.25">
      <c r="B16" s="42" t="s">
        <v>190</v>
      </c>
      <c r="C16" s="42" t="s">
        <v>174</v>
      </c>
      <c r="G16" s="42" t="s">
        <v>180</v>
      </c>
      <c r="H16" s="42" t="s">
        <v>174</v>
      </c>
      <c r="I16" s="56"/>
      <c r="J16" s="56"/>
      <c r="K16" s="56"/>
      <c r="L16" s="42" t="s">
        <v>189</v>
      </c>
      <c r="M16" s="42" t="s">
        <v>174</v>
      </c>
    </row>
    <row r="17" spans="2:13" x14ac:dyDescent="0.25">
      <c r="B17" s="29">
        <v>1</v>
      </c>
      <c r="C17" s="57">
        <v>35</v>
      </c>
      <c r="G17" s="29">
        <v>1</v>
      </c>
      <c r="H17" s="29">
        <v>25000</v>
      </c>
      <c r="L17" s="29">
        <v>1</v>
      </c>
      <c r="M17" s="29">
        <v>6000</v>
      </c>
    </row>
    <row r="18" spans="2:13" x14ac:dyDescent="0.25">
      <c r="B18" s="29" t="s">
        <v>175</v>
      </c>
      <c r="C18" s="29">
        <v>100</v>
      </c>
      <c r="G18" s="29" t="s">
        <v>175</v>
      </c>
      <c r="H18" s="29">
        <v>100</v>
      </c>
      <c r="L18" s="29" t="s">
        <v>175</v>
      </c>
      <c r="M18" s="29">
        <v>100</v>
      </c>
    </row>
    <row r="19" spans="2:13" x14ac:dyDescent="0.25">
      <c r="B19" s="29" t="s">
        <v>176</v>
      </c>
      <c r="C19" s="29">
        <v>100</v>
      </c>
      <c r="G19" s="29" t="s">
        <v>181</v>
      </c>
      <c r="H19" s="29">
        <v>100</v>
      </c>
      <c r="L19" s="29" t="s">
        <v>194</v>
      </c>
      <c r="M19" s="29">
        <v>100</v>
      </c>
    </row>
    <row r="20" spans="2:13" x14ac:dyDescent="0.25">
      <c r="B20" s="29" t="s">
        <v>193</v>
      </c>
      <c r="C20" s="55">
        <f>100/35</f>
        <v>2.8571428571428572</v>
      </c>
      <c r="G20" s="29" t="s">
        <v>193</v>
      </c>
      <c r="H20" s="29">
        <f>100/25000</f>
        <v>4.0000000000000001E-3</v>
      </c>
      <c r="L20" s="29" t="s">
        <v>193</v>
      </c>
      <c r="M20" s="55">
        <f>100/6000</f>
        <v>1.6666666666666666E-2</v>
      </c>
    </row>
    <row r="21" spans="2:13" x14ac:dyDescent="0.25">
      <c r="G21" s="29"/>
      <c r="H21" s="29"/>
      <c r="L21" s="29"/>
      <c r="M21" s="29"/>
    </row>
    <row r="22" spans="2:13" x14ac:dyDescent="0.25">
      <c r="B22" s="29" t="s">
        <v>182</v>
      </c>
      <c r="C22" s="58">
        <f>D13</f>
        <v>5</v>
      </c>
      <c r="G22" s="29" t="s">
        <v>185</v>
      </c>
      <c r="H22" s="58">
        <f>H13</f>
        <v>250</v>
      </c>
      <c r="L22" s="29" t="s">
        <v>191</v>
      </c>
      <c r="M22" s="58">
        <v>40</v>
      </c>
    </row>
    <row r="23" spans="2:13" x14ac:dyDescent="0.25">
      <c r="B23" s="29" t="s">
        <v>183</v>
      </c>
      <c r="C23" s="58">
        <f>C20*C22</f>
        <v>14.285714285714286</v>
      </c>
      <c r="G23" s="29" t="s">
        <v>183</v>
      </c>
      <c r="H23" s="58">
        <f>H20*H22</f>
        <v>1</v>
      </c>
      <c r="L23" s="29" t="s">
        <v>183</v>
      </c>
      <c r="M23" s="58">
        <f>M20*M22</f>
        <v>0.66666666666666663</v>
      </c>
    </row>
    <row r="24" spans="2:13" x14ac:dyDescent="0.25">
      <c r="B24" s="60" t="s">
        <v>184</v>
      </c>
      <c r="C24" s="61">
        <f>C23*22</f>
        <v>314.28571428571428</v>
      </c>
      <c r="G24" s="60" t="s">
        <v>184</v>
      </c>
      <c r="H24" s="62">
        <f>H23*22</f>
        <v>22</v>
      </c>
      <c r="I24" s="59" t="s">
        <v>188</v>
      </c>
      <c r="J24" s="61">
        <f>22*2</f>
        <v>44</v>
      </c>
      <c r="L24" s="60" t="s">
        <v>184</v>
      </c>
      <c r="M24" s="61">
        <f>M23*22</f>
        <v>14.666666666666666</v>
      </c>
    </row>
    <row r="26" spans="2:13" x14ac:dyDescent="0.25">
      <c r="C26" s="28">
        <f>B14+F14+L14+P14</f>
        <v>442.95238095238096</v>
      </c>
    </row>
  </sheetData>
  <mergeCells count="9">
    <mergeCell ref="Q13:Q15"/>
    <mergeCell ref="P11:P12"/>
    <mergeCell ref="Q11:Q12"/>
    <mergeCell ref="B11:E11"/>
    <mergeCell ref="F11:K11"/>
    <mergeCell ref="L11:O11"/>
    <mergeCell ref="B14:E14"/>
    <mergeCell ref="F14:K14"/>
    <mergeCell ref="L14:O14"/>
  </mergeCells>
  <dataValidations count="9">
    <dataValidation allowBlank="1" showInputMessage="1" showErrorMessage="1" promptTitle="ALERTA" prompt="FAVOR INFORMAR OUTROS GASTOS MENSAIS COM MANUTENÇÃO POR VEÍCULO, EXCETO OS ITENS JÁ DIMENSIONADOS NAS COLUNAS ANTERIORES (COMBUSTÍVEL, PNEUS, ÓLEO MOTOR)." sqref="P13"/>
    <dataValidation allowBlank="1" showInputMessage="1" showErrorMessage="1" promptTitle="ALERTA" prompt="FAVOR INFORMAR O NÚMERO DE PNEUS UTILIZADOS NO VEÍCULO. NÃO DEVERÁ SER CONSIDERADO O PNEU SOBRESSALENTE (STEP)." sqref="J13:K13"/>
    <dataValidation allowBlank="1" showInputMessage="1" showErrorMessage="1" promptTitle="ALERTA" prompt="FAVOR INFORMAR O VALOR DE UM PNEU NOVO." sqref="H13"/>
    <dataValidation allowBlank="1" showInputMessage="1" showErrorMessage="1" promptTitle="ALERTA" prompt="FAVOR INFORMAR O CONSUMO MÉDIO DE 1 UNIDADE (LITRO/M3) DE COMBUSTÍVEL. CONSULTAR REVISTAS ESPECIALIZADAS. EX.: QUATRO RODAS, AUTO ESPORTE, ... " sqref="B13:C13 G13 M13"/>
    <dataValidation allowBlank="1" showInputMessage="1" showErrorMessage="1" promptTitle="ALERTA" prompt="FAVOR INFORMAR O PREÇO MÉDIO DE 1 UNIDADE (LITRO/M3) DE COMBUSTÍVEL, CONFORME A CARACTERÍSTICA DO VEÍCULO." sqref="D13:E13"/>
    <dataValidation allowBlank="1" showInputMessage="1" showErrorMessage="1" promptTitle="ALERTA" prompt="FAVOR INFORMAR O VALOR DE 1 LITRO DE ÓLEO DO MOTOR." sqref="N13"/>
    <dataValidation allowBlank="1" showInputMessage="1" showErrorMessage="1" promptTitle="ALERTA" prompt="FAVOR INFORMAR O NÚMERO DE QUILÔMETROS DA VIDA ÚTIL DE UM PNEU. CONSULTAR SITE DE FABRICANTES. " sqref="F13"/>
    <dataValidation allowBlank="1" showInputMessage="1" showErrorMessage="1" promptTitle="ALERTA" prompt="FAVOR INFORMAR O NÚMERO DE QUILÔMETROS EM QUE O ÓLEO DO MOTOR PRECISA SER TROCADO. CONSULTAR SITE DE FABRICANTES DE VEÍCULOS. " sqref="L13"/>
    <dataValidation allowBlank="1" showInputMessage="1" showErrorMessage="1" promptTitle="ALERTA" prompt="FAVOR INFORMAR DESCRIÇÃO DO VEÍCULO CONFORME DEFINIDO NO MEMORIAL DESCRITIVO (ESPECIFICAÇÕES TÉCNICAS)." sqref="D7:D9 B10"/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6"/>
  <sheetViews>
    <sheetView showGridLines="0" workbookViewId="0">
      <selection activeCell="K5" sqref="K5"/>
    </sheetView>
  </sheetViews>
  <sheetFormatPr defaultRowHeight="18.75" x14ac:dyDescent="0.3"/>
  <cols>
    <col min="1" max="1" width="10.5703125" style="30" customWidth="1"/>
    <col min="2" max="2" width="8.28515625" style="31" customWidth="1"/>
    <col min="3" max="3" width="69.140625" style="30" customWidth="1"/>
    <col min="4" max="4" width="17" style="30" customWidth="1"/>
    <col min="5" max="5" width="18.5703125" style="30" customWidth="1"/>
    <col min="6" max="6" width="15" style="30" customWidth="1"/>
    <col min="7" max="7" width="17.42578125" style="30" customWidth="1"/>
    <col min="8" max="8" width="17.140625" style="30" bestFit="1" customWidth="1"/>
    <col min="9" max="16384" width="9.140625" style="30"/>
  </cols>
  <sheetData>
    <row r="1" spans="2:7" ht="37.5" customHeight="1" thickBot="1" x14ac:dyDescent="0.35"/>
    <row r="2" spans="2:7" ht="19.5" thickBot="1" x14ac:dyDescent="0.35">
      <c r="B2" s="255" t="s">
        <v>201</v>
      </c>
      <c r="C2" s="256"/>
      <c r="D2" s="256"/>
      <c r="E2" s="256"/>
      <c r="F2" s="256"/>
      <c r="G2" s="257"/>
    </row>
    <row r="4" spans="2:7" ht="37.5" x14ac:dyDescent="0.3">
      <c r="B4" s="175" t="s">
        <v>79</v>
      </c>
      <c r="C4" s="175" t="s">
        <v>115</v>
      </c>
      <c r="D4" s="176" t="s">
        <v>120</v>
      </c>
      <c r="E4" s="176" t="s">
        <v>116</v>
      </c>
      <c r="F4" s="177" t="s">
        <v>117</v>
      </c>
      <c r="G4" s="177" t="s">
        <v>118</v>
      </c>
    </row>
    <row r="5" spans="2:7" ht="37.5" x14ac:dyDescent="0.3">
      <c r="B5" s="178">
        <v>1</v>
      </c>
      <c r="C5" s="179" t="s">
        <v>119</v>
      </c>
      <c r="D5" s="178">
        <v>5</v>
      </c>
      <c r="E5" s="178">
        <v>10</v>
      </c>
      <c r="F5" s="180">
        <f>'1a POSTO 12x36 DIURNO 5 postos'!D155</f>
        <v>9550.5047088952633</v>
      </c>
      <c r="G5" s="180">
        <f>F5*D5</f>
        <v>47752.523544476317</v>
      </c>
    </row>
    <row r="6" spans="2:7" ht="37.5" x14ac:dyDescent="0.3">
      <c r="B6" s="178">
        <v>2</v>
      </c>
      <c r="C6" s="179" t="s">
        <v>121</v>
      </c>
      <c r="D6" s="178">
        <v>2</v>
      </c>
      <c r="E6" s="178">
        <v>4</v>
      </c>
      <c r="F6" s="180">
        <f>'2a POSTO 12x36 DIURNO-MOTO 2Pst'!D158</f>
        <v>10992.952281525235</v>
      </c>
      <c r="G6" s="180">
        <f t="shared" ref="G6:G9" si="0">F6*D6</f>
        <v>21985.90456305047</v>
      </c>
    </row>
    <row r="7" spans="2:7" ht="37.5" x14ac:dyDescent="0.3">
      <c r="B7" s="178">
        <v>3</v>
      </c>
      <c r="C7" s="179" t="s">
        <v>202</v>
      </c>
      <c r="D7" s="178">
        <v>1</v>
      </c>
      <c r="E7" s="178">
        <v>1</v>
      </c>
      <c r="F7" s="180">
        <f>'3a POSTO 44 HS DIURNO MOTORIZ. '!D158</f>
        <v>5864.2678300837688</v>
      </c>
      <c r="G7" s="180">
        <f t="shared" si="0"/>
        <v>5864.2678300837688</v>
      </c>
    </row>
    <row r="8" spans="2:7" ht="37.5" x14ac:dyDescent="0.3">
      <c r="B8" s="178">
        <v>4</v>
      </c>
      <c r="C8" s="179" t="s">
        <v>122</v>
      </c>
      <c r="D8" s="178">
        <v>5</v>
      </c>
      <c r="E8" s="178">
        <v>10</v>
      </c>
      <c r="F8" s="180">
        <f>'4a POSTO 12x36 NOTURNO 5 postos'!D158</f>
        <v>11567.367440664369</v>
      </c>
      <c r="G8" s="180">
        <f t="shared" si="0"/>
        <v>57836.837203321847</v>
      </c>
    </row>
    <row r="9" spans="2:7" ht="37.5" x14ac:dyDescent="0.3">
      <c r="B9" s="178">
        <v>5</v>
      </c>
      <c r="C9" s="179" t="s">
        <v>123</v>
      </c>
      <c r="D9" s="178">
        <v>2</v>
      </c>
      <c r="E9" s="178">
        <v>4</v>
      </c>
      <c r="F9" s="180">
        <f>'5a POSTO 12x36 NOTUR-MOTO 2Pst'!D157</f>
        <v>12972.363550876988</v>
      </c>
      <c r="G9" s="180">
        <f t="shared" si="0"/>
        <v>25944.727101753975</v>
      </c>
    </row>
    <row r="10" spans="2:7" ht="22.5" customHeight="1" x14ac:dyDescent="0.3">
      <c r="D10" s="181">
        <f>SUM(D5:D9)</f>
        <v>15</v>
      </c>
      <c r="E10" s="181">
        <f>SUM(E5:E9)</f>
        <v>29</v>
      </c>
      <c r="F10" s="31"/>
    </row>
    <row r="11" spans="2:7" x14ac:dyDescent="0.3">
      <c r="D11" s="31"/>
      <c r="E11" s="31"/>
      <c r="F11" s="31"/>
    </row>
    <row r="12" spans="2:7" s="40" customFormat="1" x14ac:dyDescent="0.3">
      <c r="B12" s="39"/>
      <c r="C12" s="182" t="s">
        <v>125</v>
      </c>
      <c r="D12" s="39"/>
      <c r="E12" s="39"/>
      <c r="F12" s="39"/>
      <c r="G12" s="183">
        <f>SUM(G5:G9)</f>
        <v>159384.26024268637</v>
      </c>
    </row>
    <row r="13" spans="2:7" s="40" customFormat="1" x14ac:dyDescent="0.3">
      <c r="B13" s="39"/>
      <c r="C13" s="182" t="s">
        <v>124</v>
      </c>
      <c r="D13" s="39"/>
      <c r="E13" s="39"/>
      <c r="F13" s="39"/>
      <c r="G13" s="183">
        <f>G12*12</f>
        <v>1912611.1229122365</v>
      </c>
    </row>
    <row r="14" spans="2:7" x14ac:dyDescent="0.3">
      <c r="C14" s="31"/>
      <c r="D14" s="31"/>
      <c r="E14" s="31"/>
      <c r="F14" s="31"/>
      <c r="G14" s="31"/>
    </row>
    <row r="15" spans="2:7" x14ac:dyDescent="0.3">
      <c r="C15" s="31"/>
      <c r="D15" s="31"/>
      <c r="E15" s="31"/>
      <c r="F15" s="31"/>
      <c r="G15" s="31"/>
    </row>
    <row r="16" spans="2:7" x14ac:dyDescent="0.3">
      <c r="B16" s="258" t="s">
        <v>203</v>
      </c>
      <c r="C16" s="259"/>
      <c r="D16" s="259"/>
      <c r="E16" s="259"/>
      <c r="F16" s="259"/>
      <c r="G16" s="260"/>
    </row>
    <row r="17" spans="2:7" x14ac:dyDescent="0.3">
      <c r="B17" s="261"/>
      <c r="C17" s="262"/>
      <c r="D17" s="262"/>
      <c r="E17" s="262"/>
      <c r="F17" s="262"/>
      <c r="G17" s="263"/>
    </row>
    <row r="18" spans="2:7" x14ac:dyDescent="0.3">
      <c r="B18" s="264"/>
      <c r="C18" s="265"/>
      <c r="D18" s="265"/>
      <c r="E18" s="265"/>
      <c r="F18" s="265"/>
      <c r="G18" s="266"/>
    </row>
    <row r="19" spans="2:7" x14ac:dyDescent="0.3">
      <c r="C19" s="31"/>
      <c r="D19" s="31"/>
      <c r="E19" s="31"/>
      <c r="F19" s="31"/>
      <c r="G19" s="31"/>
    </row>
    <row r="20" spans="2:7" x14ac:dyDescent="0.3">
      <c r="C20" s="31"/>
      <c r="D20" s="31"/>
      <c r="E20" s="31"/>
      <c r="F20" s="31"/>
      <c r="G20" s="31"/>
    </row>
    <row r="21" spans="2:7" x14ac:dyDescent="0.3">
      <c r="C21" s="31"/>
      <c r="D21" s="31"/>
      <c r="E21" s="31"/>
      <c r="F21" s="31"/>
      <c r="G21" s="31"/>
    </row>
    <row r="22" spans="2:7" x14ac:dyDescent="0.3">
      <c r="C22" s="31"/>
      <c r="D22" s="31"/>
      <c r="E22" s="31"/>
      <c r="F22" s="31"/>
      <c r="G22" s="31"/>
    </row>
    <row r="23" spans="2:7" x14ac:dyDescent="0.3">
      <c r="C23" s="31"/>
      <c r="D23" s="31"/>
      <c r="E23" s="31"/>
      <c r="F23" s="31"/>
      <c r="G23" s="31"/>
    </row>
    <row r="24" spans="2:7" x14ac:dyDescent="0.3">
      <c r="C24" s="31"/>
      <c r="D24" s="31"/>
      <c r="E24" s="31"/>
      <c r="F24" s="31"/>
      <c r="G24" s="31"/>
    </row>
    <row r="25" spans="2:7" x14ac:dyDescent="0.3">
      <c r="C25" s="31"/>
      <c r="D25" s="31"/>
      <c r="E25" s="31"/>
      <c r="F25" s="31"/>
      <c r="G25" s="31"/>
    </row>
    <row r="26" spans="2:7" x14ac:dyDescent="0.3">
      <c r="C26" s="31"/>
      <c r="D26" s="31"/>
      <c r="E26" s="31"/>
      <c r="F26" s="31"/>
      <c r="G26" s="31"/>
    </row>
  </sheetData>
  <mergeCells count="2">
    <mergeCell ref="B2:G2"/>
    <mergeCell ref="B16:G18"/>
  </mergeCells>
  <pageMargins left="0.51181102362204722" right="0.31496062992125984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163"/>
  <sheetViews>
    <sheetView showGridLines="0" zoomScaleNormal="100" workbookViewId="0">
      <selection activeCell="C98" sqref="C98"/>
    </sheetView>
  </sheetViews>
  <sheetFormatPr defaultRowHeight="15" x14ac:dyDescent="0.25"/>
  <cols>
    <col min="1" max="1" width="2" style="93" customWidth="1"/>
    <col min="2" max="2" width="15.42578125" style="93" customWidth="1"/>
    <col min="3" max="3" width="95.28515625" style="93" customWidth="1"/>
    <col min="4" max="4" width="26.140625" style="93" customWidth="1"/>
    <col min="5" max="5" width="11.28515625" style="93" customWidth="1"/>
    <col min="6" max="6" width="12.7109375" style="93" customWidth="1"/>
    <col min="7" max="7" width="12" style="93" customWidth="1"/>
    <col min="8" max="8" width="15.140625" style="93" customWidth="1"/>
    <col min="9" max="9" width="10.7109375" style="93" bestFit="1" customWidth="1"/>
    <col min="10" max="16384" width="9.140625" style="93"/>
  </cols>
  <sheetData>
    <row r="1" spans="2:5" s="41" customFormat="1" x14ac:dyDescent="0.25">
      <c r="B1" s="210" t="s">
        <v>64</v>
      </c>
      <c r="C1" s="210"/>
      <c r="D1" s="210"/>
      <c r="E1" s="210"/>
    </row>
    <row r="2" spans="2:5" s="41" customFormat="1" x14ac:dyDescent="0.25">
      <c r="B2" s="210" t="s">
        <v>65</v>
      </c>
      <c r="C2" s="210"/>
      <c r="D2" s="210"/>
      <c r="E2" s="210"/>
    </row>
    <row r="3" spans="2:5" s="41" customFormat="1" x14ac:dyDescent="0.25">
      <c r="B3" s="210" t="s">
        <v>286</v>
      </c>
      <c r="C3" s="210"/>
      <c r="D3" s="210"/>
      <c r="E3" s="210"/>
    </row>
    <row r="4" spans="2:5" x14ac:dyDescent="0.25">
      <c r="B4" s="211" t="s">
        <v>66</v>
      </c>
      <c r="C4" s="211"/>
      <c r="D4" s="211"/>
      <c r="E4" s="211"/>
    </row>
    <row r="5" spans="2:5" ht="15.75" thickBot="1" x14ac:dyDescent="0.3">
      <c r="B5" s="109"/>
      <c r="C5" s="109"/>
      <c r="D5" s="109"/>
      <c r="E5" s="109"/>
    </row>
    <row r="6" spans="2:5" s="136" customFormat="1" x14ac:dyDescent="0.25">
      <c r="B6" s="216" t="s">
        <v>288</v>
      </c>
      <c r="C6" s="217"/>
      <c r="D6" s="218"/>
    </row>
    <row r="7" spans="2:5" s="136" customFormat="1" x14ac:dyDescent="0.25">
      <c r="B7" s="219" t="s">
        <v>289</v>
      </c>
      <c r="C7" s="220"/>
      <c r="D7" s="221"/>
    </row>
    <row r="8" spans="2:5" s="136" customFormat="1" ht="15.75" thickBot="1" x14ac:dyDescent="0.3">
      <c r="B8" s="222" t="s">
        <v>290</v>
      </c>
      <c r="C8" s="223"/>
      <c r="D8" s="224"/>
    </row>
    <row r="9" spans="2:5" ht="15.75" thickBot="1" x14ac:dyDescent="0.3">
      <c r="B9" s="213" t="s">
        <v>287</v>
      </c>
      <c r="C9" s="214" t="s">
        <v>11</v>
      </c>
      <c r="D9" s="215" t="s">
        <v>12</v>
      </c>
    </row>
    <row r="10" spans="2:5" ht="15.75" thickBot="1" x14ac:dyDescent="0.3">
      <c r="B10" s="113" t="s">
        <v>13</v>
      </c>
      <c r="C10" s="114" t="s">
        <v>291</v>
      </c>
      <c r="D10" s="139" t="s">
        <v>309</v>
      </c>
    </row>
    <row r="11" spans="2:5" ht="15.75" thickBot="1" x14ac:dyDescent="0.3">
      <c r="B11" s="113" t="s">
        <v>15</v>
      </c>
      <c r="C11" s="114" t="s">
        <v>292</v>
      </c>
      <c r="D11" s="115" t="s">
        <v>310</v>
      </c>
    </row>
    <row r="12" spans="2:5" ht="15.75" thickBot="1" x14ac:dyDescent="0.3">
      <c r="B12" s="113" t="s">
        <v>16</v>
      </c>
      <c r="C12" s="114" t="s">
        <v>294</v>
      </c>
      <c r="D12" s="115" t="s">
        <v>311</v>
      </c>
    </row>
    <row r="13" spans="2:5" ht="15.75" thickBot="1" x14ac:dyDescent="0.3">
      <c r="B13" s="113" t="s">
        <v>18</v>
      </c>
      <c r="C13" s="114" t="s">
        <v>312</v>
      </c>
      <c r="D13" s="140">
        <v>43537</v>
      </c>
    </row>
    <row r="14" spans="2:5" ht="15.75" thickBot="1" x14ac:dyDescent="0.3">
      <c r="B14" s="144" t="s">
        <v>19</v>
      </c>
      <c r="C14" s="146" t="s">
        <v>293</v>
      </c>
      <c r="D14" s="145">
        <v>12</v>
      </c>
    </row>
    <row r="15" spans="2:5" ht="15.75" thickBot="1" x14ac:dyDescent="0.3">
      <c r="B15" s="109"/>
      <c r="C15" s="110"/>
      <c r="D15" s="109"/>
      <c r="E15" s="109"/>
    </row>
    <row r="16" spans="2:5" ht="15.75" thickBot="1" x14ac:dyDescent="0.3">
      <c r="B16" s="213" t="s">
        <v>295</v>
      </c>
      <c r="C16" s="214" t="s">
        <v>11</v>
      </c>
      <c r="D16" s="215" t="s">
        <v>12</v>
      </c>
    </row>
    <row r="17" spans="2:5" ht="35.25" customHeight="1" thickBot="1" x14ac:dyDescent="0.3">
      <c r="B17" s="134" t="s">
        <v>296</v>
      </c>
      <c r="C17" s="143" t="s">
        <v>299</v>
      </c>
      <c r="D17" s="142" t="s">
        <v>314</v>
      </c>
    </row>
    <row r="18" spans="2:5" ht="30.75" thickBot="1" x14ac:dyDescent="0.3">
      <c r="B18" s="134" t="s">
        <v>298</v>
      </c>
      <c r="C18" s="143" t="s">
        <v>297</v>
      </c>
      <c r="D18" s="141">
        <v>5</v>
      </c>
    </row>
    <row r="19" spans="2:5" ht="15.75" thickBot="1" x14ac:dyDescent="0.3">
      <c r="B19" s="109"/>
      <c r="C19" s="110"/>
      <c r="D19" s="109"/>
      <c r="E19" s="109"/>
    </row>
    <row r="20" spans="2:5" ht="15.75" thickBot="1" x14ac:dyDescent="0.3">
      <c r="B20" s="213" t="s">
        <v>300</v>
      </c>
      <c r="C20" s="214" t="s">
        <v>11</v>
      </c>
      <c r="D20" s="215" t="s">
        <v>12</v>
      </c>
    </row>
    <row r="21" spans="2:5" ht="30.75" thickBot="1" x14ac:dyDescent="0.3">
      <c r="B21" s="147">
        <v>1</v>
      </c>
      <c r="C21" s="146" t="s">
        <v>301</v>
      </c>
      <c r="D21" s="148" t="s">
        <v>302</v>
      </c>
    </row>
    <row r="22" spans="2:5" ht="15.75" thickBot="1" x14ac:dyDescent="0.3">
      <c r="B22" s="149">
        <v>2</v>
      </c>
      <c r="C22" s="150" t="s">
        <v>303</v>
      </c>
      <c r="D22" s="151" t="s">
        <v>307</v>
      </c>
    </row>
    <row r="23" spans="2:5" ht="15.75" thickBot="1" x14ac:dyDescent="0.3">
      <c r="B23" s="147">
        <v>3</v>
      </c>
      <c r="C23" s="146" t="s">
        <v>304</v>
      </c>
      <c r="D23" s="152">
        <v>1246.32</v>
      </c>
    </row>
    <row r="24" spans="2:5" ht="17.25" customHeight="1" thickBot="1" x14ac:dyDescent="0.3">
      <c r="B24" s="149">
        <v>4</v>
      </c>
      <c r="C24" s="150" t="s">
        <v>305</v>
      </c>
      <c r="D24" s="153" t="s">
        <v>308</v>
      </c>
    </row>
    <row r="25" spans="2:5" ht="18.75" customHeight="1" thickBot="1" x14ac:dyDescent="0.3">
      <c r="B25" s="147">
        <v>5</v>
      </c>
      <c r="C25" s="146" t="s">
        <v>306</v>
      </c>
      <c r="D25" s="154" t="s">
        <v>313</v>
      </c>
    </row>
    <row r="26" spans="2:5" x14ac:dyDescent="0.25">
      <c r="B26" s="109"/>
      <c r="C26" s="110"/>
      <c r="D26" s="109"/>
      <c r="E26" s="109"/>
    </row>
    <row r="27" spans="2:5" x14ac:dyDescent="0.25">
      <c r="B27" s="212" t="s">
        <v>10</v>
      </c>
      <c r="C27" s="212"/>
      <c r="D27" s="212"/>
    </row>
    <row r="28" spans="2:5" ht="15.75" thickBot="1" x14ac:dyDescent="0.3">
      <c r="B28" s="118"/>
    </row>
    <row r="29" spans="2:5" ht="15.75" thickBot="1" x14ac:dyDescent="0.3">
      <c r="B29" s="111">
        <v>1</v>
      </c>
      <c r="C29" s="112" t="s">
        <v>11</v>
      </c>
      <c r="D29" s="112" t="s">
        <v>12</v>
      </c>
    </row>
    <row r="30" spans="2:5" ht="15.75" thickBot="1" x14ac:dyDescent="0.3">
      <c r="B30" s="113" t="s">
        <v>13</v>
      </c>
      <c r="C30" s="114" t="s">
        <v>14</v>
      </c>
      <c r="D30" s="115">
        <v>1246.32</v>
      </c>
    </row>
    <row r="31" spans="2:5" ht="15.75" thickBot="1" x14ac:dyDescent="0.3">
      <c r="B31" s="113" t="s">
        <v>15</v>
      </c>
      <c r="C31" s="114" t="s">
        <v>205</v>
      </c>
      <c r="D31" s="115">
        <f>D30*0.3</f>
        <v>373.89599999999996</v>
      </c>
    </row>
    <row r="32" spans="2:5" ht="15.75" thickBot="1" x14ac:dyDescent="0.3">
      <c r="B32" s="113" t="s">
        <v>16</v>
      </c>
      <c r="C32" s="114" t="s">
        <v>17</v>
      </c>
      <c r="D32" s="116"/>
    </row>
    <row r="33" spans="2:9" ht="15.75" thickBot="1" x14ac:dyDescent="0.3">
      <c r="B33" s="113" t="s">
        <v>18</v>
      </c>
      <c r="C33" s="114" t="s">
        <v>0</v>
      </c>
      <c r="D33" s="116"/>
    </row>
    <row r="34" spans="2:9" ht="15.75" thickBot="1" x14ac:dyDescent="0.3">
      <c r="B34" s="113" t="s">
        <v>19</v>
      </c>
      <c r="C34" s="114" t="s">
        <v>20</v>
      </c>
      <c r="D34" s="116"/>
    </row>
    <row r="35" spans="2:9" ht="15.75" thickBot="1" x14ac:dyDescent="0.3">
      <c r="B35" s="113" t="s">
        <v>21</v>
      </c>
      <c r="C35" s="114" t="s">
        <v>23</v>
      </c>
      <c r="D35" s="116"/>
    </row>
    <row r="36" spans="2:9" ht="15.75" thickBot="1" x14ac:dyDescent="0.3">
      <c r="B36" s="113"/>
      <c r="C36" s="114"/>
      <c r="D36" s="116"/>
    </row>
    <row r="37" spans="2:9" ht="15.75" thickBot="1" x14ac:dyDescent="0.3">
      <c r="B37" s="204" t="s">
        <v>1</v>
      </c>
      <c r="C37" s="205"/>
      <c r="D37" s="155">
        <f>SUM(D30:D36)</f>
        <v>1620.2159999999999</v>
      </c>
    </row>
    <row r="39" spans="2:9" x14ac:dyDescent="0.25">
      <c r="B39" s="203" t="s">
        <v>24</v>
      </c>
      <c r="C39" s="203"/>
      <c r="D39" s="203"/>
    </row>
    <row r="40" spans="2:9" x14ac:dyDescent="0.25">
      <c r="B40" s="118"/>
    </row>
    <row r="41" spans="2:9" ht="15.75" thickBot="1" x14ac:dyDescent="0.3">
      <c r="B41" s="206" t="s">
        <v>25</v>
      </c>
      <c r="C41" s="206"/>
      <c r="D41" s="206"/>
    </row>
    <row r="42" spans="2:9" ht="15.75" thickBot="1" x14ac:dyDescent="0.3"/>
    <row r="43" spans="2:9" s="189" customFormat="1" ht="15.75" thickBot="1" x14ac:dyDescent="0.3">
      <c r="B43" s="187" t="s">
        <v>26</v>
      </c>
      <c r="C43" s="188" t="s">
        <v>27</v>
      </c>
      <c r="D43" s="188" t="s">
        <v>12</v>
      </c>
    </row>
    <row r="44" spans="2:9" ht="18" customHeight="1" thickBot="1" x14ac:dyDescent="0.3">
      <c r="B44" s="113" t="s">
        <v>13</v>
      </c>
      <c r="C44" s="114" t="s">
        <v>213</v>
      </c>
      <c r="D44" s="115">
        <f>D37/12</f>
        <v>135.018</v>
      </c>
    </row>
    <row r="45" spans="2:9" ht="30.75" thickBot="1" x14ac:dyDescent="0.3">
      <c r="B45" s="113" t="s">
        <v>15</v>
      </c>
      <c r="C45" s="114" t="s">
        <v>243</v>
      </c>
      <c r="D45" s="117">
        <f>(D37/3)/12+D44</f>
        <v>180.024</v>
      </c>
      <c r="H45" s="119"/>
      <c r="I45" s="119"/>
    </row>
    <row r="46" spans="2:9" ht="15.75" thickBot="1" x14ac:dyDescent="0.3">
      <c r="B46" s="204" t="s">
        <v>1</v>
      </c>
      <c r="C46" s="205"/>
      <c r="D46" s="155">
        <f>SUM(D44:D45)</f>
        <v>315.04200000000003</v>
      </c>
      <c r="H46" s="119"/>
    </row>
    <row r="48" spans="2:9" ht="32.25" customHeight="1" x14ac:dyDescent="0.25">
      <c r="B48" s="209" t="s">
        <v>28</v>
      </c>
      <c r="C48" s="209"/>
      <c r="D48" s="209"/>
      <c r="E48" s="209"/>
    </row>
    <row r="49" spans="2:8" ht="15.75" thickBot="1" x14ac:dyDescent="0.3"/>
    <row r="50" spans="2:8" s="189" customFormat="1" ht="15.75" thickBot="1" x14ac:dyDescent="0.3">
      <c r="B50" s="187" t="s">
        <v>29</v>
      </c>
      <c r="C50" s="188" t="s">
        <v>30</v>
      </c>
      <c r="D50" s="188" t="s">
        <v>31</v>
      </c>
      <c r="E50" s="188" t="s">
        <v>12</v>
      </c>
    </row>
    <row r="51" spans="2:8" ht="15.75" thickBot="1" x14ac:dyDescent="0.3">
      <c r="B51" s="113" t="s">
        <v>13</v>
      </c>
      <c r="C51" s="114" t="s">
        <v>32</v>
      </c>
      <c r="D51" s="120">
        <v>0.2</v>
      </c>
      <c r="E51" s="115">
        <f t="shared" ref="E51:E58" si="0">($D$37+$D$46)*D51</f>
        <v>387.05160000000001</v>
      </c>
    </row>
    <row r="52" spans="2:8" ht="15.75" thickBot="1" x14ac:dyDescent="0.3">
      <c r="B52" s="113" t="s">
        <v>15</v>
      </c>
      <c r="C52" s="114" t="s">
        <v>33</v>
      </c>
      <c r="D52" s="120">
        <v>2.5000000000000001E-2</v>
      </c>
      <c r="E52" s="115">
        <f t="shared" si="0"/>
        <v>48.381450000000001</v>
      </c>
    </row>
    <row r="53" spans="2:8" ht="15.75" thickBot="1" x14ac:dyDescent="0.3">
      <c r="B53" s="113" t="s">
        <v>16</v>
      </c>
      <c r="C53" s="114" t="s">
        <v>34</v>
      </c>
      <c r="D53" s="121">
        <v>0.03</v>
      </c>
      <c r="E53" s="115">
        <f t="shared" si="0"/>
        <v>58.057739999999995</v>
      </c>
    </row>
    <row r="54" spans="2:8" ht="15.75" thickBot="1" x14ac:dyDescent="0.3">
      <c r="B54" s="113" t="s">
        <v>18</v>
      </c>
      <c r="C54" s="114" t="s">
        <v>35</v>
      </c>
      <c r="D54" s="120">
        <v>1.4999999999999999E-2</v>
      </c>
      <c r="E54" s="115">
        <f t="shared" si="0"/>
        <v>29.028869999999998</v>
      </c>
    </row>
    <row r="55" spans="2:8" ht="15.75" thickBot="1" x14ac:dyDescent="0.3">
      <c r="B55" s="113" t="s">
        <v>19</v>
      </c>
      <c r="C55" s="114" t="s">
        <v>36</v>
      </c>
      <c r="D55" s="120">
        <v>0.01</v>
      </c>
      <c r="E55" s="115">
        <f t="shared" si="0"/>
        <v>19.35258</v>
      </c>
    </row>
    <row r="56" spans="2:8" ht="15.75" thickBot="1" x14ac:dyDescent="0.3">
      <c r="B56" s="113" t="s">
        <v>21</v>
      </c>
      <c r="C56" s="114" t="s">
        <v>2</v>
      </c>
      <c r="D56" s="120">
        <v>6.0000000000000001E-3</v>
      </c>
      <c r="E56" s="115">
        <f t="shared" si="0"/>
        <v>11.611547999999999</v>
      </c>
    </row>
    <row r="57" spans="2:8" ht="15.75" thickBot="1" x14ac:dyDescent="0.3">
      <c r="B57" s="113" t="s">
        <v>22</v>
      </c>
      <c r="C57" s="114" t="s">
        <v>3</v>
      </c>
      <c r="D57" s="120">
        <v>2E-3</v>
      </c>
      <c r="E57" s="115">
        <f t="shared" si="0"/>
        <v>3.8705159999999998</v>
      </c>
    </row>
    <row r="58" spans="2:8" ht="15.75" thickBot="1" x14ac:dyDescent="0.3">
      <c r="B58" s="113" t="s">
        <v>37</v>
      </c>
      <c r="C58" s="114" t="s">
        <v>4</v>
      </c>
      <c r="D58" s="120">
        <v>0.08</v>
      </c>
      <c r="E58" s="115">
        <f t="shared" si="0"/>
        <v>154.82064</v>
      </c>
    </row>
    <row r="59" spans="2:8" ht="15.75" thickBot="1" x14ac:dyDescent="0.3">
      <c r="B59" s="204" t="s">
        <v>38</v>
      </c>
      <c r="C59" s="205"/>
      <c r="D59" s="156" t="s">
        <v>221</v>
      </c>
      <c r="E59" s="155">
        <f>SUM(E51:E58)</f>
        <v>712.17494399999987</v>
      </c>
      <c r="H59" s="119"/>
    </row>
    <row r="62" spans="2:8" x14ac:dyDescent="0.25">
      <c r="B62" s="206" t="s">
        <v>39</v>
      </c>
      <c r="C62" s="206"/>
      <c r="D62" s="206"/>
    </row>
    <row r="63" spans="2:8" ht="15.75" thickBot="1" x14ac:dyDescent="0.3"/>
    <row r="64" spans="2:8" s="189" customFormat="1" ht="15.75" thickBot="1" x14ac:dyDescent="0.3">
      <c r="B64" s="187" t="s">
        <v>40</v>
      </c>
      <c r="C64" s="188" t="s">
        <v>41</v>
      </c>
      <c r="D64" s="188" t="s">
        <v>12</v>
      </c>
    </row>
    <row r="65" spans="2:4" ht="15.75" thickBot="1" x14ac:dyDescent="0.3">
      <c r="B65" s="113" t="s">
        <v>13</v>
      </c>
      <c r="C65" s="122" t="s">
        <v>214</v>
      </c>
      <c r="D65" s="117">
        <f>(30*3.8)-(D30*0.03)</f>
        <v>76.610399999999998</v>
      </c>
    </row>
    <row r="66" spans="2:4" ht="15.75" thickBot="1" x14ac:dyDescent="0.3">
      <c r="B66" s="113" t="s">
        <v>15</v>
      </c>
      <c r="C66" s="114" t="s">
        <v>211</v>
      </c>
      <c r="D66" s="115">
        <f>(22*15)-(330*0.05)</f>
        <v>313.5</v>
      </c>
    </row>
    <row r="67" spans="2:4" ht="15.75" thickBot="1" x14ac:dyDescent="0.3">
      <c r="B67" s="113" t="s">
        <v>16</v>
      </c>
      <c r="C67" s="114" t="s">
        <v>244</v>
      </c>
      <c r="D67" s="115">
        <v>90.81</v>
      </c>
    </row>
    <row r="68" spans="2:4" ht="15.75" thickBot="1" x14ac:dyDescent="0.3">
      <c r="B68" s="113" t="s">
        <v>18</v>
      </c>
      <c r="C68" s="114" t="s">
        <v>23</v>
      </c>
      <c r="D68" s="116"/>
    </row>
    <row r="69" spans="2:4" ht="15.75" thickBot="1" x14ac:dyDescent="0.3">
      <c r="B69" s="204" t="s">
        <v>1</v>
      </c>
      <c r="C69" s="205"/>
      <c r="D69" s="155">
        <f>SUM(D65:D68)</f>
        <v>480.92040000000003</v>
      </c>
    </row>
    <row r="72" spans="2:4" x14ac:dyDescent="0.25">
      <c r="B72" s="206" t="s">
        <v>42</v>
      </c>
      <c r="C72" s="206"/>
      <c r="D72" s="206"/>
    </row>
    <row r="73" spans="2:4" ht="15.75" thickBot="1" x14ac:dyDescent="0.3"/>
    <row r="74" spans="2:4" s="189" customFormat="1" ht="15.75" thickBot="1" x14ac:dyDescent="0.3">
      <c r="B74" s="187">
        <v>2</v>
      </c>
      <c r="C74" s="188" t="s">
        <v>43</v>
      </c>
      <c r="D74" s="188" t="s">
        <v>12</v>
      </c>
    </row>
    <row r="75" spans="2:4" ht="15.75" thickBot="1" x14ac:dyDescent="0.3">
      <c r="B75" s="113" t="s">
        <v>26</v>
      </c>
      <c r="C75" s="114" t="s">
        <v>216</v>
      </c>
      <c r="D75" s="117">
        <f>D46</f>
        <v>315.04200000000003</v>
      </c>
    </row>
    <row r="76" spans="2:4" ht="15.75" thickBot="1" x14ac:dyDescent="0.3">
      <c r="B76" s="113" t="s">
        <v>29</v>
      </c>
      <c r="C76" s="114" t="s">
        <v>217</v>
      </c>
      <c r="D76" s="117">
        <f>E59</f>
        <v>712.17494399999987</v>
      </c>
    </row>
    <row r="77" spans="2:4" ht="15.75" thickBot="1" x14ac:dyDescent="0.3">
      <c r="B77" s="113" t="s">
        <v>40</v>
      </c>
      <c r="C77" s="114" t="s">
        <v>218</v>
      </c>
      <c r="D77" s="115">
        <f>D69</f>
        <v>480.92040000000003</v>
      </c>
    </row>
    <row r="78" spans="2:4" ht="15.75" thickBot="1" x14ac:dyDescent="0.3">
      <c r="B78" s="204" t="s">
        <v>1</v>
      </c>
      <c r="C78" s="205"/>
      <c r="D78" s="155">
        <f>SUM(D75:D77)</f>
        <v>1508.1373439999998</v>
      </c>
    </row>
    <row r="79" spans="2:4" x14ac:dyDescent="0.25">
      <c r="B79" s="2"/>
    </row>
    <row r="81" spans="2:9" x14ac:dyDescent="0.25">
      <c r="B81" s="203" t="s">
        <v>44</v>
      </c>
      <c r="C81" s="203"/>
      <c r="D81" s="203"/>
    </row>
    <row r="82" spans="2:9" ht="15.75" thickBot="1" x14ac:dyDescent="0.3"/>
    <row r="83" spans="2:9" s="189" customFormat="1" ht="15.75" thickBot="1" x14ac:dyDescent="0.3">
      <c r="B83" s="187">
        <v>3</v>
      </c>
      <c r="C83" s="188" t="s">
        <v>45</v>
      </c>
      <c r="D83" s="188" t="s">
        <v>12</v>
      </c>
    </row>
    <row r="84" spans="2:9" ht="30.75" thickBot="1" x14ac:dyDescent="0.3">
      <c r="B84" s="113" t="s">
        <v>13</v>
      </c>
      <c r="C84" s="123" t="s">
        <v>315</v>
      </c>
      <c r="D84" s="124">
        <f>(D37+D46+E58)/12</f>
        <v>174.17321999999999</v>
      </c>
      <c r="E84" s="125">
        <f>D84/$D$37</f>
        <v>0.1075</v>
      </c>
    </row>
    <row r="85" spans="2:9" ht="15.75" thickBot="1" x14ac:dyDescent="0.3">
      <c r="B85" s="113" t="s">
        <v>15</v>
      </c>
      <c r="C85" s="126" t="s">
        <v>219</v>
      </c>
      <c r="D85" s="124">
        <f>D84*0.08</f>
        <v>13.9338576</v>
      </c>
      <c r="E85" s="125">
        <f t="shared" ref="E85:E89" si="1">D85/$D$37</f>
        <v>8.6E-3</v>
      </c>
    </row>
    <row r="86" spans="2:9" ht="15.75" thickBot="1" x14ac:dyDescent="0.3">
      <c r="B86" s="113" t="s">
        <v>16</v>
      </c>
      <c r="C86" s="126" t="s">
        <v>220</v>
      </c>
      <c r="D86" s="124">
        <f>D85*0.5</f>
        <v>6.9669287999999998</v>
      </c>
      <c r="E86" s="125">
        <f t="shared" si="1"/>
        <v>4.3E-3</v>
      </c>
    </row>
    <row r="87" spans="2:9" ht="45.75" thickBot="1" x14ac:dyDescent="0.3">
      <c r="B87" s="113" t="s">
        <v>18</v>
      </c>
      <c r="C87" s="123" t="s">
        <v>246</v>
      </c>
      <c r="D87" s="127">
        <f>(((D37+D46+E59)/30)*7)/12</f>
        <v>51.47786279999999</v>
      </c>
      <c r="E87" s="125">
        <f t="shared" si="1"/>
        <v>3.1772222222222216E-2</v>
      </c>
    </row>
    <row r="88" spans="2:9" ht="15.75" thickBot="1" x14ac:dyDescent="0.3">
      <c r="B88" s="113" t="s">
        <v>19</v>
      </c>
      <c r="C88" s="123" t="s">
        <v>245</v>
      </c>
      <c r="D88" s="124">
        <f>D87*0.368</f>
        <v>18.943853510399997</v>
      </c>
      <c r="E88" s="125">
        <f t="shared" si="1"/>
        <v>1.1692177777777776E-2</v>
      </c>
    </row>
    <row r="89" spans="2:9" ht="15.75" thickBot="1" x14ac:dyDescent="0.3">
      <c r="B89" s="113" t="s">
        <v>21</v>
      </c>
      <c r="C89" s="126" t="s">
        <v>242</v>
      </c>
      <c r="D89" s="128">
        <f>((D87*0.08))*0.5</f>
        <v>2.0591145119999998</v>
      </c>
      <c r="E89" s="125">
        <f t="shared" si="1"/>
        <v>1.2708888888888889E-3</v>
      </c>
      <c r="G89" s="119"/>
      <c r="H89" s="119"/>
      <c r="I89" s="119"/>
    </row>
    <row r="90" spans="2:9" ht="15.75" thickBot="1" x14ac:dyDescent="0.3">
      <c r="B90" s="204" t="s">
        <v>1</v>
      </c>
      <c r="C90" s="205"/>
      <c r="D90" s="157">
        <f>SUM(D84:D89)</f>
        <v>267.55483722240001</v>
      </c>
      <c r="E90" s="119">
        <f>D87*0.08</f>
        <v>4.1182290239999997</v>
      </c>
      <c r="H90" s="119"/>
      <c r="I90" s="119"/>
    </row>
    <row r="91" spans="2:9" x14ac:dyDescent="0.25">
      <c r="E91" s="119">
        <f>D87*0.08</f>
        <v>4.1182290239999997</v>
      </c>
      <c r="H91" s="119"/>
      <c r="I91" s="119"/>
    </row>
    <row r="92" spans="2:9" x14ac:dyDescent="0.25">
      <c r="E92" s="119"/>
    </row>
    <row r="93" spans="2:9" x14ac:dyDescent="0.25">
      <c r="B93" s="203" t="s">
        <v>46</v>
      </c>
      <c r="C93" s="203"/>
      <c r="D93" s="203"/>
    </row>
    <row r="95" spans="2:9" x14ac:dyDescent="0.25">
      <c r="B95" s="206" t="s">
        <v>47</v>
      </c>
      <c r="C95" s="206"/>
      <c r="D95" s="206"/>
      <c r="H95" s="119"/>
    </row>
    <row r="96" spans="2:9" ht="15.75" thickBot="1" x14ac:dyDescent="0.3">
      <c r="B96" s="118"/>
      <c r="H96" s="119"/>
    </row>
    <row r="97" spans="2:5" s="189" customFormat="1" ht="15.75" thickBot="1" x14ac:dyDescent="0.3">
      <c r="B97" s="187" t="s">
        <v>48</v>
      </c>
      <c r="C97" s="188" t="s">
        <v>49</v>
      </c>
      <c r="D97" s="188" t="s">
        <v>12</v>
      </c>
    </row>
    <row r="98" spans="2:5" ht="15.75" thickBot="1" x14ac:dyDescent="0.3">
      <c r="B98" s="113" t="s">
        <v>13</v>
      </c>
      <c r="C98" s="114" t="s">
        <v>106</v>
      </c>
      <c r="D98" s="115"/>
    </row>
    <row r="99" spans="2:5" ht="15.75" thickBot="1" x14ac:dyDescent="0.3">
      <c r="B99" s="113" t="s">
        <v>15</v>
      </c>
      <c r="C99" s="114" t="s">
        <v>107</v>
      </c>
      <c r="D99" s="115">
        <v>84.967727520000011</v>
      </c>
      <c r="E99" s="119">
        <f>D99/$D$37</f>
        <v>5.244222222222223E-2</v>
      </c>
    </row>
    <row r="100" spans="2:5" ht="15.75" thickBot="1" x14ac:dyDescent="0.3">
      <c r="B100" s="113" t="s">
        <v>16</v>
      </c>
      <c r="C100" s="114" t="s">
        <v>241</v>
      </c>
      <c r="D100" s="115">
        <v>1.4460427799999998</v>
      </c>
      <c r="E100" s="119">
        <f t="shared" ref="E100:E102" si="2">D100/$D$37</f>
        <v>8.9249999999999996E-4</v>
      </c>
    </row>
    <row r="101" spans="2:5" ht="15.75" thickBot="1" x14ac:dyDescent="0.3">
      <c r="B101" s="113" t="s">
        <v>18</v>
      </c>
      <c r="C101" s="114" t="s">
        <v>108</v>
      </c>
      <c r="D101" s="115">
        <v>3.1112647800000004</v>
      </c>
      <c r="E101" s="119">
        <f t="shared" si="2"/>
        <v>1.9202777777777781E-3</v>
      </c>
    </row>
    <row r="102" spans="2:5" ht="15.75" thickBot="1" x14ac:dyDescent="0.3">
      <c r="B102" s="113" t="s">
        <v>19</v>
      </c>
      <c r="C102" s="114" t="s">
        <v>109</v>
      </c>
      <c r="D102" s="115">
        <v>1.1233497599999998</v>
      </c>
      <c r="E102" s="119">
        <f t="shared" si="2"/>
        <v>6.9333333333333324E-4</v>
      </c>
    </row>
    <row r="103" spans="2:5" ht="15.75" thickBot="1" x14ac:dyDescent="0.3">
      <c r="B103" s="113" t="s">
        <v>21</v>
      </c>
      <c r="C103" s="114" t="s">
        <v>110</v>
      </c>
      <c r="D103" s="115"/>
    </row>
    <row r="104" spans="2:5" ht="15.75" thickBot="1" x14ac:dyDescent="0.3">
      <c r="B104" s="204" t="s">
        <v>38</v>
      </c>
      <c r="C104" s="205"/>
      <c r="D104" s="158">
        <f>SUM(D98:D103)</f>
        <v>90.648384840000006</v>
      </c>
    </row>
    <row r="107" spans="2:5" x14ac:dyDescent="0.25">
      <c r="B107" s="206" t="s">
        <v>112</v>
      </c>
      <c r="C107" s="206"/>
      <c r="D107" s="206"/>
    </row>
    <row r="108" spans="2:5" ht="15.75" thickBot="1" x14ac:dyDescent="0.3">
      <c r="B108" s="118"/>
    </row>
    <row r="109" spans="2:5" s="189" customFormat="1" ht="15.75" thickBot="1" x14ac:dyDescent="0.3">
      <c r="B109" s="187" t="s">
        <v>50</v>
      </c>
      <c r="C109" s="188" t="s">
        <v>111</v>
      </c>
      <c r="D109" s="188" t="s">
        <v>12</v>
      </c>
    </row>
    <row r="110" spans="2:5" ht="30.75" thickBot="1" x14ac:dyDescent="0.3">
      <c r="B110" s="113" t="s">
        <v>13</v>
      </c>
      <c r="C110" s="114" t="s">
        <v>263</v>
      </c>
      <c r="D110" s="129">
        <v>196.2</v>
      </c>
    </row>
    <row r="111" spans="2:5" ht="15.75" thickBot="1" x14ac:dyDescent="0.3">
      <c r="B111" s="204" t="s">
        <v>1</v>
      </c>
      <c r="C111" s="205"/>
      <c r="D111" s="159">
        <f>SUM(D110)</f>
        <v>196.2</v>
      </c>
    </row>
    <row r="114" spans="2:4" x14ac:dyDescent="0.25">
      <c r="B114" s="206" t="s">
        <v>51</v>
      </c>
      <c r="C114" s="206"/>
      <c r="D114" s="206"/>
    </row>
    <row r="115" spans="2:4" ht="15.75" thickBot="1" x14ac:dyDescent="0.3">
      <c r="B115" s="118"/>
    </row>
    <row r="116" spans="2:4" s="189" customFormat="1" ht="15.75" thickBot="1" x14ac:dyDescent="0.3">
      <c r="B116" s="187">
        <v>4</v>
      </c>
      <c r="C116" s="188" t="s">
        <v>52</v>
      </c>
      <c r="D116" s="188" t="s">
        <v>12</v>
      </c>
    </row>
    <row r="117" spans="2:4" ht="15.75" thickBot="1" x14ac:dyDescent="0.3">
      <c r="B117" s="113" t="s">
        <v>48</v>
      </c>
      <c r="C117" s="114" t="s">
        <v>261</v>
      </c>
      <c r="D117" s="115">
        <f>D104</f>
        <v>90.648384840000006</v>
      </c>
    </row>
    <row r="118" spans="2:4" ht="15.75" thickBot="1" x14ac:dyDescent="0.3">
      <c r="B118" s="113" t="s">
        <v>50</v>
      </c>
      <c r="C118" s="130" t="s">
        <v>262</v>
      </c>
      <c r="D118" s="131">
        <f>D111</f>
        <v>196.2</v>
      </c>
    </row>
    <row r="119" spans="2:4" ht="15.75" thickBot="1" x14ac:dyDescent="0.3">
      <c r="B119" s="204" t="s">
        <v>1</v>
      </c>
      <c r="C119" s="205"/>
      <c r="D119" s="158">
        <f>SUM(D117:D118)</f>
        <v>286.84838483999999</v>
      </c>
    </row>
    <row r="122" spans="2:4" x14ac:dyDescent="0.25">
      <c r="B122" s="203" t="s">
        <v>53</v>
      </c>
      <c r="C122" s="203"/>
      <c r="D122" s="203"/>
    </row>
    <row r="123" spans="2:4" ht="15.75" thickBot="1" x14ac:dyDescent="0.3"/>
    <row r="124" spans="2:4" s="189" customFormat="1" ht="15.75" thickBot="1" x14ac:dyDescent="0.3">
      <c r="B124" s="195">
        <v>5</v>
      </c>
      <c r="C124" s="197" t="s">
        <v>5</v>
      </c>
      <c r="D124" s="197" t="s">
        <v>12</v>
      </c>
    </row>
    <row r="125" spans="2:4" ht="15.75" thickBot="1" x14ac:dyDescent="0.3">
      <c r="B125" s="198" t="s">
        <v>13</v>
      </c>
      <c r="C125" s="199" t="s">
        <v>54</v>
      </c>
      <c r="D125" s="200">
        <f>Uniformes!H15</f>
        <v>70.569444444444443</v>
      </c>
    </row>
    <row r="126" spans="2:4" ht="15.75" thickBot="1" x14ac:dyDescent="0.3">
      <c r="B126" s="198" t="s">
        <v>15</v>
      </c>
      <c r="C126" s="199" t="s">
        <v>144</v>
      </c>
      <c r="D126" s="200">
        <f>'Material de uso individual'!H10</f>
        <v>37.958333333333336</v>
      </c>
    </row>
    <row r="127" spans="2:4" ht="15.75" thickBot="1" x14ac:dyDescent="0.3">
      <c r="B127" s="198" t="s">
        <v>16</v>
      </c>
      <c r="C127" s="199" t="s">
        <v>145</v>
      </c>
      <c r="D127" s="200">
        <f>'Masterial de uso coletivo'!H7+'Masterial de uso coletivo'!H15</f>
        <v>11.902333333333333</v>
      </c>
    </row>
    <row r="128" spans="2:4" ht="15.75" thickBot="1" x14ac:dyDescent="0.3">
      <c r="B128" s="198" t="s">
        <v>18</v>
      </c>
      <c r="C128" s="199" t="s">
        <v>146</v>
      </c>
      <c r="D128" s="200">
        <f>'Equipamentos-Depreciação'!M23</f>
        <v>50.429241379310348</v>
      </c>
    </row>
    <row r="129" spans="2:5" ht="15.75" thickBot="1" x14ac:dyDescent="0.3">
      <c r="B129" s="204" t="s">
        <v>38</v>
      </c>
      <c r="C129" s="205"/>
      <c r="D129" s="158">
        <f>SUM(D125:D128)</f>
        <v>170.85935249042146</v>
      </c>
    </row>
    <row r="132" spans="2:5" x14ac:dyDescent="0.25">
      <c r="B132" s="203" t="s">
        <v>55</v>
      </c>
      <c r="C132" s="203"/>
      <c r="D132" s="203"/>
    </row>
    <row r="133" spans="2:5" ht="15.75" thickBot="1" x14ac:dyDescent="0.3"/>
    <row r="134" spans="2:5" s="189" customFormat="1" ht="15.75" thickBot="1" x14ac:dyDescent="0.3">
      <c r="B134" s="187">
        <v>6</v>
      </c>
      <c r="C134" s="188" t="s">
        <v>6</v>
      </c>
      <c r="D134" s="188" t="s">
        <v>31</v>
      </c>
      <c r="E134" s="187" t="s">
        <v>12</v>
      </c>
    </row>
    <row r="135" spans="2:5" ht="15.75" thickBot="1" x14ac:dyDescent="0.3">
      <c r="B135" s="113" t="s">
        <v>13</v>
      </c>
      <c r="C135" s="114" t="s">
        <v>7</v>
      </c>
      <c r="D135" s="133">
        <v>0.06</v>
      </c>
      <c r="E135" s="115">
        <f>(D129+D119+D90+D78+D37)*D135</f>
        <v>231.21695511316923</v>
      </c>
    </row>
    <row r="136" spans="2:5" ht="15.75" thickBot="1" x14ac:dyDescent="0.3">
      <c r="B136" s="113" t="s">
        <v>15</v>
      </c>
      <c r="C136" s="114" t="s">
        <v>9</v>
      </c>
      <c r="D136" s="133">
        <v>6.7900000000000002E-2</v>
      </c>
      <c r="E136" s="115">
        <f>(D129+D119+D90+D78+D37+E135)*D136</f>
        <v>277.36015212192075</v>
      </c>
    </row>
    <row r="137" spans="2:5" ht="15.75" thickBot="1" x14ac:dyDescent="0.3">
      <c r="B137" s="113" t="s">
        <v>16</v>
      </c>
      <c r="C137" s="114" t="s">
        <v>8</v>
      </c>
      <c r="D137" s="133"/>
      <c r="E137" s="116"/>
    </row>
    <row r="138" spans="2:5" ht="15.75" thickBot="1" x14ac:dyDescent="0.3">
      <c r="B138" s="113"/>
      <c r="C138" s="114" t="s">
        <v>56</v>
      </c>
      <c r="D138" s="133"/>
      <c r="E138" s="117">
        <f>D154*0.0365</f>
        <v>174.29671093733853</v>
      </c>
    </row>
    <row r="139" spans="2:5" ht="15.75" thickBot="1" x14ac:dyDescent="0.3">
      <c r="B139" s="113"/>
      <c r="C139" s="114" t="s">
        <v>57</v>
      </c>
      <c r="D139" s="133"/>
      <c r="E139" s="115"/>
    </row>
    <row r="140" spans="2:5" ht="15.75" thickBot="1" x14ac:dyDescent="0.3">
      <c r="B140" s="160"/>
      <c r="C140" s="161" t="s">
        <v>58</v>
      </c>
      <c r="D140" s="162"/>
      <c r="E140" s="115">
        <f>D154*0.05</f>
        <v>238.76261772238161</v>
      </c>
    </row>
    <row r="141" spans="2:5" ht="15.75" thickBot="1" x14ac:dyDescent="0.3">
      <c r="B141" s="207" t="s">
        <v>38</v>
      </c>
      <c r="C141" s="208"/>
      <c r="D141" s="163"/>
      <c r="E141" s="158">
        <f>SUM(E135:E140)</f>
        <v>921.63643589481012</v>
      </c>
    </row>
    <row r="144" spans="2:5" x14ac:dyDescent="0.25">
      <c r="B144" s="203" t="s">
        <v>59</v>
      </c>
      <c r="C144" s="203"/>
      <c r="D144" s="203"/>
    </row>
    <row r="145" spans="2:4" ht="15.75" thickBot="1" x14ac:dyDescent="0.3"/>
    <row r="146" spans="2:4" s="189" customFormat="1" ht="15.75" thickBot="1" x14ac:dyDescent="0.3">
      <c r="B146" s="187"/>
      <c r="C146" s="188" t="s">
        <v>60</v>
      </c>
      <c r="D146" s="188" t="s">
        <v>12</v>
      </c>
    </row>
    <row r="147" spans="2:4" ht="15.75" thickBot="1" x14ac:dyDescent="0.3">
      <c r="B147" s="134" t="s">
        <v>13</v>
      </c>
      <c r="C147" s="114" t="s">
        <v>10</v>
      </c>
      <c r="D147" s="135">
        <f>D37</f>
        <v>1620.2159999999999</v>
      </c>
    </row>
    <row r="148" spans="2:4" ht="15.75" thickBot="1" x14ac:dyDescent="0.3">
      <c r="B148" s="134" t="s">
        <v>15</v>
      </c>
      <c r="C148" s="114" t="s">
        <v>24</v>
      </c>
      <c r="D148" s="135">
        <f>D78</f>
        <v>1508.1373439999998</v>
      </c>
    </row>
    <row r="149" spans="2:4" ht="15.75" thickBot="1" x14ac:dyDescent="0.3">
      <c r="B149" s="134" t="s">
        <v>16</v>
      </c>
      <c r="C149" s="114" t="s">
        <v>44</v>
      </c>
      <c r="D149" s="135">
        <f>D90</f>
        <v>267.55483722240001</v>
      </c>
    </row>
    <row r="150" spans="2:4" ht="15.75" thickBot="1" x14ac:dyDescent="0.3">
      <c r="B150" s="134" t="s">
        <v>18</v>
      </c>
      <c r="C150" s="114" t="s">
        <v>46</v>
      </c>
      <c r="D150" s="135">
        <f>D119</f>
        <v>286.84838483999999</v>
      </c>
    </row>
    <row r="151" spans="2:4" ht="15.75" thickBot="1" x14ac:dyDescent="0.3">
      <c r="B151" s="134" t="s">
        <v>19</v>
      </c>
      <c r="C151" s="114" t="s">
        <v>53</v>
      </c>
      <c r="D151" s="135">
        <f>D129</f>
        <v>170.85935249042146</v>
      </c>
    </row>
    <row r="152" spans="2:4" ht="15.75" thickBot="1" x14ac:dyDescent="0.3">
      <c r="B152" s="204" t="s">
        <v>61</v>
      </c>
      <c r="C152" s="205"/>
      <c r="D152" s="166">
        <f>SUM(D147:D151)</f>
        <v>3853.6159185528209</v>
      </c>
    </row>
    <row r="153" spans="2:4" ht="15.75" thickBot="1" x14ac:dyDescent="0.3">
      <c r="B153" s="134" t="s">
        <v>21</v>
      </c>
      <c r="C153" s="114" t="s">
        <v>62</v>
      </c>
      <c r="D153" s="135">
        <f>E141</f>
        <v>921.63643589481012</v>
      </c>
    </row>
    <row r="154" spans="2:4" ht="15.75" customHeight="1" thickBot="1" x14ac:dyDescent="0.3">
      <c r="B154" s="204" t="s">
        <v>63</v>
      </c>
      <c r="C154" s="205"/>
      <c r="D154" s="158">
        <f>((D152+E135+E136)/0.9135)</f>
        <v>4775.2523544476317</v>
      </c>
    </row>
    <row r="155" spans="2:4" ht="18.75" customHeight="1" thickBot="1" x14ac:dyDescent="0.3">
      <c r="C155" s="164" t="s">
        <v>113</v>
      </c>
      <c r="D155" s="165">
        <f>D154*2</f>
        <v>9550.5047088952633</v>
      </c>
    </row>
    <row r="158" spans="2:4" x14ac:dyDescent="0.25">
      <c r="B158" s="203" t="s">
        <v>317</v>
      </c>
      <c r="C158" s="203"/>
      <c r="D158" s="203"/>
    </row>
    <row r="159" spans="2:4" ht="15.75" thickBot="1" x14ac:dyDescent="0.3"/>
    <row r="160" spans="2:4" ht="15.75" thickBot="1" x14ac:dyDescent="0.3">
      <c r="B160" s="190"/>
      <c r="C160" s="191" t="s">
        <v>318</v>
      </c>
      <c r="D160" s="188" t="s">
        <v>12</v>
      </c>
    </row>
    <row r="161" spans="2:4" ht="15.75" thickBot="1" x14ac:dyDescent="0.3">
      <c r="B161" s="184" t="s">
        <v>13</v>
      </c>
      <c r="C161" s="186" t="s">
        <v>319</v>
      </c>
      <c r="D161" s="185">
        <f>D155</f>
        <v>9550.5047088952633</v>
      </c>
    </row>
    <row r="162" spans="2:4" ht="15.75" thickBot="1" x14ac:dyDescent="0.3">
      <c r="B162" s="184" t="s">
        <v>15</v>
      </c>
      <c r="C162" s="186" t="s">
        <v>320</v>
      </c>
      <c r="D162" s="185">
        <f>D161*D18</f>
        <v>47752.523544476317</v>
      </c>
    </row>
    <row r="163" spans="2:4" ht="15.75" thickBot="1" x14ac:dyDescent="0.3">
      <c r="B163" s="184" t="s">
        <v>16</v>
      </c>
      <c r="C163" s="186" t="s">
        <v>321</v>
      </c>
      <c r="D163" s="185">
        <f>D162*12</f>
        <v>573030.28253371583</v>
      </c>
    </row>
  </sheetData>
  <mergeCells count="38">
    <mergeCell ref="B39:D39"/>
    <mergeCell ref="B1:E1"/>
    <mergeCell ref="B2:E2"/>
    <mergeCell ref="B4:E4"/>
    <mergeCell ref="B27:D27"/>
    <mergeCell ref="B37:C37"/>
    <mergeCell ref="B3:E3"/>
    <mergeCell ref="B9:D9"/>
    <mergeCell ref="B6:D6"/>
    <mergeCell ref="B7:D7"/>
    <mergeCell ref="B8:D8"/>
    <mergeCell ref="B16:D16"/>
    <mergeCell ref="B20:D20"/>
    <mergeCell ref="B95:D95"/>
    <mergeCell ref="B41:D41"/>
    <mergeCell ref="B46:C46"/>
    <mergeCell ref="B48:E48"/>
    <mergeCell ref="B59:C59"/>
    <mergeCell ref="B62:D62"/>
    <mergeCell ref="B69:C69"/>
    <mergeCell ref="B72:D72"/>
    <mergeCell ref="B78:C78"/>
    <mergeCell ref="B81:D81"/>
    <mergeCell ref="B90:C90"/>
    <mergeCell ref="B93:D93"/>
    <mergeCell ref="B158:D158"/>
    <mergeCell ref="B154:C154"/>
    <mergeCell ref="B104:C104"/>
    <mergeCell ref="B107:D107"/>
    <mergeCell ref="B111:C111"/>
    <mergeCell ref="B114:D114"/>
    <mergeCell ref="B119:C119"/>
    <mergeCell ref="B122:D122"/>
    <mergeCell ref="B129:C129"/>
    <mergeCell ref="B132:D132"/>
    <mergeCell ref="B141:C141"/>
    <mergeCell ref="B144:D144"/>
    <mergeCell ref="B152:C152"/>
  </mergeCells>
  <pageMargins left="0.51181102362204722" right="0.51181102362204722" top="0.78740157480314965" bottom="0.78740157480314965" header="0.31496062992125984" footer="0.31496062992125984"/>
  <pageSetup scale="2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65"/>
  <sheetViews>
    <sheetView showGridLines="0" topLeftCell="A148" zoomScaleNormal="100" workbookViewId="0">
      <selection activeCell="C18" sqref="C18"/>
    </sheetView>
  </sheetViews>
  <sheetFormatPr defaultRowHeight="15" x14ac:dyDescent="0.25"/>
  <cols>
    <col min="1" max="1" width="2.42578125" style="93" customWidth="1"/>
    <col min="2" max="2" width="12.28515625" style="93" customWidth="1"/>
    <col min="3" max="3" width="97.28515625" style="93" customWidth="1"/>
    <col min="4" max="4" width="26.140625" style="93" customWidth="1"/>
    <col min="5" max="5" width="14.28515625" style="93" customWidth="1"/>
    <col min="6" max="6" width="12.7109375" style="93" customWidth="1"/>
    <col min="7" max="7" width="12" style="93" customWidth="1"/>
    <col min="8" max="8" width="15.140625" style="93" customWidth="1"/>
    <col min="9" max="9" width="10.7109375" style="93" bestFit="1" customWidth="1"/>
    <col min="10" max="16384" width="9.140625" style="93"/>
  </cols>
  <sheetData>
    <row r="1" spans="2:5" s="41" customFormat="1" x14ac:dyDescent="0.25">
      <c r="B1" s="210" t="s">
        <v>64</v>
      </c>
      <c r="C1" s="210"/>
      <c r="D1" s="210"/>
      <c r="E1" s="210"/>
    </row>
    <row r="2" spans="2:5" s="41" customFormat="1" x14ac:dyDescent="0.25">
      <c r="B2" s="210" t="s">
        <v>65</v>
      </c>
      <c r="C2" s="210"/>
      <c r="D2" s="210"/>
      <c r="E2" s="210"/>
    </row>
    <row r="3" spans="2:5" s="41" customFormat="1" x14ac:dyDescent="0.25">
      <c r="B3" s="210" t="s">
        <v>286</v>
      </c>
      <c r="C3" s="210"/>
      <c r="D3" s="210"/>
      <c r="E3" s="210"/>
    </row>
    <row r="4" spans="2:5" x14ac:dyDescent="0.25">
      <c r="B4" s="211" t="s">
        <v>66</v>
      </c>
      <c r="C4" s="211"/>
      <c r="D4" s="211"/>
      <c r="E4" s="211"/>
    </row>
    <row r="5" spans="2:5" ht="15.75" thickBot="1" x14ac:dyDescent="0.3">
      <c r="B5" s="138"/>
      <c r="C5" s="138"/>
      <c r="D5" s="138"/>
      <c r="E5" s="138"/>
    </row>
    <row r="6" spans="2:5" s="136" customFormat="1" x14ac:dyDescent="0.25">
      <c r="B6" s="216" t="s">
        <v>288</v>
      </c>
      <c r="C6" s="217"/>
      <c r="D6" s="218"/>
    </row>
    <row r="7" spans="2:5" s="136" customFormat="1" x14ac:dyDescent="0.25">
      <c r="B7" s="219" t="s">
        <v>289</v>
      </c>
      <c r="C7" s="220"/>
      <c r="D7" s="221"/>
    </row>
    <row r="8" spans="2:5" s="136" customFormat="1" ht="15.75" thickBot="1" x14ac:dyDescent="0.3">
      <c r="B8" s="222" t="s">
        <v>290</v>
      </c>
      <c r="C8" s="223"/>
      <c r="D8" s="224"/>
    </row>
    <row r="9" spans="2:5" ht="15.75" thickBot="1" x14ac:dyDescent="0.3">
      <c r="B9" s="213" t="s">
        <v>287</v>
      </c>
      <c r="C9" s="214" t="s">
        <v>11</v>
      </c>
      <c r="D9" s="215" t="s">
        <v>12</v>
      </c>
    </row>
    <row r="10" spans="2:5" ht="15.75" thickBot="1" x14ac:dyDescent="0.3">
      <c r="B10" s="113" t="s">
        <v>13</v>
      </c>
      <c r="C10" s="114" t="s">
        <v>291</v>
      </c>
      <c r="D10" s="139" t="s">
        <v>309</v>
      </c>
    </row>
    <row r="11" spans="2:5" ht="15.75" thickBot="1" x14ac:dyDescent="0.3">
      <c r="B11" s="113" t="s">
        <v>15</v>
      </c>
      <c r="C11" s="114" t="s">
        <v>292</v>
      </c>
      <c r="D11" s="115" t="s">
        <v>310</v>
      </c>
    </row>
    <row r="12" spans="2:5" ht="15.75" thickBot="1" x14ac:dyDescent="0.3">
      <c r="B12" s="113" t="s">
        <v>16</v>
      </c>
      <c r="C12" s="114" t="s">
        <v>294</v>
      </c>
      <c r="D12" s="115" t="s">
        <v>311</v>
      </c>
    </row>
    <row r="13" spans="2:5" ht="15.75" thickBot="1" x14ac:dyDescent="0.3">
      <c r="B13" s="113" t="s">
        <v>18</v>
      </c>
      <c r="C13" s="114" t="s">
        <v>312</v>
      </c>
      <c r="D13" s="140">
        <v>43537</v>
      </c>
    </row>
    <row r="14" spans="2:5" ht="15.75" thickBot="1" x14ac:dyDescent="0.3">
      <c r="B14" s="144" t="s">
        <v>19</v>
      </c>
      <c r="C14" s="146" t="s">
        <v>293</v>
      </c>
      <c r="D14" s="145">
        <v>12</v>
      </c>
    </row>
    <row r="15" spans="2:5" ht="15.75" thickBot="1" x14ac:dyDescent="0.3">
      <c r="B15" s="138"/>
      <c r="C15" s="110"/>
      <c r="D15" s="138"/>
      <c r="E15" s="138"/>
    </row>
    <row r="16" spans="2:5" ht="15.75" thickBot="1" x14ac:dyDescent="0.3">
      <c r="B16" s="213" t="s">
        <v>295</v>
      </c>
      <c r="C16" s="214" t="s">
        <v>11</v>
      </c>
      <c r="D16" s="215" t="s">
        <v>12</v>
      </c>
    </row>
    <row r="17" spans="2:5" ht="45.75" thickBot="1" x14ac:dyDescent="0.3">
      <c r="B17" s="134" t="s">
        <v>296</v>
      </c>
      <c r="C17" s="143" t="s">
        <v>299</v>
      </c>
      <c r="D17" s="142" t="s">
        <v>314</v>
      </c>
    </row>
    <row r="18" spans="2:5" ht="30.75" thickBot="1" x14ac:dyDescent="0.3">
      <c r="B18" s="134" t="s">
        <v>298</v>
      </c>
      <c r="C18" s="143" t="s">
        <v>297</v>
      </c>
      <c r="D18" s="141">
        <v>2</v>
      </c>
    </row>
    <row r="19" spans="2:5" ht="15.75" thickBot="1" x14ac:dyDescent="0.3">
      <c r="B19" s="138"/>
      <c r="C19" s="110"/>
      <c r="D19" s="138"/>
      <c r="E19" s="138"/>
    </row>
    <row r="20" spans="2:5" ht="15.75" thickBot="1" x14ac:dyDescent="0.3">
      <c r="B20" s="213" t="s">
        <v>300</v>
      </c>
      <c r="C20" s="214" t="s">
        <v>11</v>
      </c>
      <c r="D20" s="215" t="s">
        <v>12</v>
      </c>
    </row>
    <row r="21" spans="2:5" ht="45.75" thickBot="1" x14ac:dyDescent="0.3">
      <c r="B21" s="147">
        <v>1</v>
      </c>
      <c r="C21" s="146" t="s">
        <v>301</v>
      </c>
      <c r="D21" s="148" t="s">
        <v>316</v>
      </c>
    </row>
    <row r="22" spans="2:5" ht="15.75" thickBot="1" x14ac:dyDescent="0.3">
      <c r="B22" s="149">
        <v>2</v>
      </c>
      <c r="C22" s="150" t="s">
        <v>303</v>
      </c>
      <c r="D22" s="151" t="s">
        <v>307</v>
      </c>
    </row>
    <row r="23" spans="2:5" ht="15.75" thickBot="1" x14ac:dyDescent="0.3">
      <c r="B23" s="147">
        <v>3</v>
      </c>
      <c r="C23" s="146" t="s">
        <v>304</v>
      </c>
      <c r="D23" s="152">
        <v>1246.32</v>
      </c>
    </row>
    <row r="24" spans="2:5" ht="15.75" thickBot="1" x14ac:dyDescent="0.3">
      <c r="B24" s="149">
        <v>4</v>
      </c>
      <c r="C24" s="150" t="s">
        <v>305</v>
      </c>
      <c r="D24" s="153" t="s">
        <v>308</v>
      </c>
    </row>
    <row r="25" spans="2:5" ht="15.75" thickBot="1" x14ac:dyDescent="0.3">
      <c r="B25" s="147">
        <v>5</v>
      </c>
      <c r="C25" s="146" t="s">
        <v>306</v>
      </c>
      <c r="D25" s="154" t="s">
        <v>313</v>
      </c>
    </row>
    <row r="26" spans="2:5" x14ac:dyDescent="0.25">
      <c r="B26" s="138"/>
      <c r="C26" s="110"/>
      <c r="D26" s="138"/>
      <c r="E26" s="138"/>
    </row>
    <row r="27" spans="2:5" x14ac:dyDescent="0.25">
      <c r="B27" s="138"/>
      <c r="C27" s="138"/>
      <c r="D27" s="138"/>
      <c r="E27" s="138"/>
    </row>
    <row r="28" spans="2:5" x14ac:dyDescent="0.25">
      <c r="B28" s="212" t="s">
        <v>10</v>
      </c>
      <c r="C28" s="212"/>
      <c r="D28" s="212"/>
    </row>
    <row r="29" spans="2:5" ht="15.75" thickBot="1" x14ac:dyDescent="0.3"/>
    <row r="30" spans="2:5" ht="15.75" thickBot="1" x14ac:dyDescent="0.3">
      <c r="B30" s="111">
        <v>1</v>
      </c>
      <c r="C30" s="137" t="s">
        <v>11</v>
      </c>
      <c r="D30" s="137" t="s">
        <v>12</v>
      </c>
    </row>
    <row r="31" spans="2:5" ht="15.75" thickBot="1" x14ac:dyDescent="0.3">
      <c r="B31" s="113" t="s">
        <v>13</v>
      </c>
      <c r="C31" s="114" t="s">
        <v>204</v>
      </c>
      <c r="D31" s="115">
        <v>1370.95</v>
      </c>
    </row>
    <row r="32" spans="2:5" ht="15.75" thickBot="1" x14ac:dyDescent="0.3">
      <c r="B32" s="113" t="s">
        <v>15</v>
      </c>
      <c r="C32" s="114" t="s">
        <v>206</v>
      </c>
      <c r="D32" s="115">
        <f>D31*0.3</f>
        <v>411.28500000000003</v>
      </c>
    </row>
    <row r="33" spans="2:4" ht="15.75" thickBot="1" x14ac:dyDescent="0.3">
      <c r="B33" s="113" t="s">
        <v>16</v>
      </c>
      <c r="C33" s="114" t="s">
        <v>17</v>
      </c>
      <c r="D33" s="116"/>
    </row>
    <row r="34" spans="2:4" ht="15.75" thickBot="1" x14ac:dyDescent="0.3">
      <c r="B34" s="113" t="s">
        <v>18</v>
      </c>
      <c r="C34" s="114" t="s">
        <v>0</v>
      </c>
      <c r="D34" s="116"/>
    </row>
    <row r="35" spans="2:4" ht="15.75" thickBot="1" x14ac:dyDescent="0.3">
      <c r="B35" s="113" t="s">
        <v>19</v>
      </c>
      <c r="C35" s="114" t="s">
        <v>20</v>
      </c>
      <c r="D35" s="116"/>
    </row>
    <row r="36" spans="2:4" ht="15.75" thickBot="1" x14ac:dyDescent="0.3">
      <c r="B36" s="113" t="s">
        <v>21</v>
      </c>
      <c r="C36" s="114" t="s">
        <v>23</v>
      </c>
      <c r="D36" s="116"/>
    </row>
    <row r="37" spans="2:4" ht="15.75" thickBot="1" x14ac:dyDescent="0.3">
      <c r="B37" s="113"/>
      <c r="C37" s="114"/>
      <c r="D37" s="116"/>
    </row>
    <row r="38" spans="2:4" ht="15.75" thickBot="1" x14ac:dyDescent="0.3">
      <c r="B38" s="204" t="s">
        <v>1</v>
      </c>
      <c r="C38" s="205"/>
      <c r="D38" s="155">
        <f>SUM(D31:D37)</f>
        <v>1782.2350000000001</v>
      </c>
    </row>
    <row r="40" spans="2:4" x14ac:dyDescent="0.25">
      <c r="B40" s="203" t="s">
        <v>24</v>
      </c>
      <c r="C40" s="203"/>
      <c r="D40" s="203"/>
    </row>
    <row r="41" spans="2:4" x14ac:dyDescent="0.25">
      <c r="B41" s="118"/>
    </row>
    <row r="42" spans="2:4" x14ac:dyDescent="0.25">
      <c r="B42" s="206" t="s">
        <v>25</v>
      </c>
      <c r="C42" s="206"/>
      <c r="D42" s="206"/>
    </row>
    <row r="43" spans="2:4" ht="15.75" thickBot="1" x14ac:dyDescent="0.3"/>
    <row r="44" spans="2:4" ht="15.75" thickBot="1" x14ac:dyDescent="0.3">
      <c r="B44" s="111" t="s">
        <v>26</v>
      </c>
      <c r="C44" s="137" t="s">
        <v>27</v>
      </c>
      <c r="D44" s="137" t="s">
        <v>12</v>
      </c>
    </row>
    <row r="45" spans="2:4" ht="15.75" thickBot="1" x14ac:dyDescent="0.3">
      <c r="B45" s="113" t="s">
        <v>13</v>
      </c>
      <c r="C45" s="114" t="s">
        <v>251</v>
      </c>
      <c r="D45" s="115">
        <f>D38/12</f>
        <v>148.51958333333334</v>
      </c>
    </row>
    <row r="46" spans="2:4" ht="15.75" thickBot="1" x14ac:dyDescent="0.3">
      <c r="B46" s="113" t="s">
        <v>15</v>
      </c>
      <c r="C46" s="114" t="s">
        <v>252</v>
      </c>
      <c r="D46" s="117">
        <f>(D38/3)/12+D45</f>
        <v>198.02611111111113</v>
      </c>
    </row>
    <row r="47" spans="2:4" ht="15.75" thickBot="1" x14ac:dyDescent="0.3">
      <c r="B47" s="204" t="s">
        <v>1</v>
      </c>
      <c r="C47" s="205"/>
      <c r="D47" s="155">
        <f>SUM(D45:D46)</f>
        <v>346.54569444444451</v>
      </c>
    </row>
    <row r="50" spans="2:5" x14ac:dyDescent="0.25">
      <c r="B50" s="209" t="s">
        <v>28</v>
      </c>
      <c r="C50" s="209"/>
      <c r="D50" s="209"/>
      <c r="E50" s="209"/>
    </row>
    <row r="51" spans="2:5" ht="15.75" thickBot="1" x14ac:dyDescent="0.3"/>
    <row r="52" spans="2:5" ht="15.75" thickBot="1" x14ac:dyDescent="0.3">
      <c r="B52" s="111" t="s">
        <v>29</v>
      </c>
      <c r="C52" s="137" t="s">
        <v>30</v>
      </c>
      <c r="D52" s="137" t="s">
        <v>31</v>
      </c>
      <c r="E52" s="137" t="s">
        <v>12</v>
      </c>
    </row>
    <row r="53" spans="2:5" ht="15.75" thickBot="1" x14ac:dyDescent="0.3">
      <c r="B53" s="113" t="s">
        <v>13</v>
      </c>
      <c r="C53" s="114" t="s">
        <v>32</v>
      </c>
      <c r="D53" s="120">
        <v>0.2</v>
      </c>
      <c r="E53" s="115">
        <f>($D$38+$D$47)*D53</f>
        <v>425.75613888888893</v>
      </c>
    </row>
    <row r="54" spans="2:5" ht="15.75" thickBot="1" x14ac:dyDescent="0.3">
      <c r="B54" s="113" t="s">
        <v>15</v>
      </c>
      <c r="C54" s="114" t="s">
        <v>33</v>
      </c>
      <c r="D54" s="120">
        <v>2.5000000000000001E-2</v>
      </c>
      <c r="E54" s="115">
        <f t="shared" ref="E54:E59" si="0">($D$38+$D$47)*D54</f>
        <v>53.219517361111116</v>
      </c>
    </row>
    <row r="55" spans="2:5" ht="15.75" thickBot="1" x14ac:dyDescent="0.3">
      <c r="B55" s="113" t="s">
        <v>16</v>
      </c>
      <c r="C55" s="114" t="s">
        <v>34</v>
      </c>
      <c r="D55" s="121">
        <v>0.03</v>
      </c>
      <c r="E55" s="115">
        <f t="shared" si="0"/>
        <v>63.863420833333336</v>
      </c>
    </row>
    <row r="56" spans="2:5" ht="15.75" thickBot="1" x14ac:dyDescent="0.3">
      <c r="B56" s="113" t="s">
        <v>18</v>
      </c>
      <c r="C56" s="114" t="s">
        <v>35</v>
      </c>
      <c r="D56" s="120">
        <v>1.4999999999999999E-2</v>
      </c>
      <c r="E56" s="115">
        <f t="shared" si="0"/>
        <v>31.931710416666668</v>
      </c>
    </row>
    <row r="57" spans="2:5" ht="15.75" thickBot="1" x14ac:dyDescent="0.3">
      <c r="B57" s="113" t="s">
        <v>19</v>
      </c>
      <c r="C57" s="114" t="s">
        <v>36</v>
      </c>
      <c r="D57" s="120">
        <v>0.01</v>
      </c>
      <c r="E57" s="115">
        <f t="shared" si="0"/>
        <v>21.287806944444448</v>
      </c>
    </row>
    <row r="58" spans="2:5" ht="15.75" thickBot="1" x14ac:dyDescent="0.3">
      <c r="B58" s="113" t="s">
        <v>21</v>
      </c>
      <c r="C58" s="114" t="s">
        <v>2</v>
      </c>
      <c r="D58" s="120">
        <v>6.0000000000000001E-3</v>
      </c>
      <c r="E58" s="115">
        <f t="shared" si="0"/>
        <v>12.772684166666668</v>
      </c>
    </row>
    <row r="59" spans="2:5" ht="15.75" thickBot="1" x14ac:dyDescent="0.3">
      <c r="B59" s="113" t="s">
        <v>22</v>
      </c>
      <c r="C59" s="114" t="s">
        <v>3</v>
      </c>
      <c r="D59" s="120">
        <v>2E-3</v>
      </c>
      <c r="E59" s="115">
        <f t="shared" si="0"/>
        <v>4.257561388888889</v>
      </c>
    </row>
    <row r="60" spans="2:5" ht="15.75" thickBot="1" x14ac:dyDescent="0.3">
      <c r="B60" s="113" t="s">
        <v>37</v>
      </c>
      <c r="C60" s="114" t="s">
        <v>4</v>
      </c>
      <c r="D60" s="120">
        <v>0.08</v>
      </c>
      <c r="E60" s="115">
        <f>($D$38+$D$47)*D60</f>
        <v>170.30245555555558</v>
      </c>
    </row>
    <row r="61" spans="2:5" ht="15.75" thickBot="1" x14ac:dyDescent="0.3">
      <c r="B61" s="204" t="s">
        <v>38</v>
      </c>
      <c r="C61" s="205"/>
      <c r="D61" s="192">
        <f>SUM(D53:D60)</f>
        <v>0.36800000000000005</v>
      </c>
      <c r="E61" s="155">
        <f>SUM(E53:E60)</f>
        <v>783.39129555555564</v>
      </c>
    </row>
    <row r="64" spans="2:5" x14ac:dyDescent="0.25">
      <c r="B64" s="206" t="s">
        <v>39</v>
      </c>
      <c r="C64" s="206"/>
      <c r="D64" s="206"/>
    </row>
    <row r="65" spans="2:4" ht="15.75" thickBot="1" x14ac:dyDescent="0.3"/>
    <row r="66" spans="2:4" ht="15.75" thickBot="1" x14ac:dyDescent="0.3">
      <c r="B66" s="111" t="s">
        <v>40</v>
      </c>
      <c r="C66" s="137" t="s">
        <v>41</v>
      </c>
      <c r="D66" s="137" t="s">
        <v>12</v>
      </c>
    </row>
    <row r="67" spans="2:4" ht="15.75" thickBot="1" x14ac:dyDescent="0.3">
      <c r="B67" s="113" t="s">
        <v>13</v>
      </c>
      <c r="C67" s="122" t="s">
        <v>253</v>
      </c>
      <c r="D67" s="117">
        <f>(30*3.8)-(D31*0.03)</f>
        <v>72.871499999999997</v>
      </c>
    </row>
    <row r="68" spans="2:4" ht="15.75" thickBot="1" x14ac:dyDescent="0.3">
      <c r="B68" s="113" t="s">
        <v>15</v>
      </c>
      <c r="C68" s="114" t="s">
        <v>211</v>
      </c>
      <c r="D68" s="115">
        <f>(22*15)-(330*0.05)</f>
        <v>313.5</v>
      </c>
    </row>
    <row r="69" spans="2:4" ht="15.75" thickBot="1" x14ac:dyDescent="0.3">
      <c r="B69" s="113" t="s">
        <v>16</v>
      </c>
      <c r="C69" s="114" t="s">
        <v>212</v>
      </c>
      <c r="D69" s="115">
        <v>90.81</v>
      </c>
    </row>
    <row r="70" spans="2:4" ht="15.75" thickBot="1" x14ac:dyDescent="0.3">
      <c r="B70" s="113" t="s">
        <v>18</v>
      </c>
      <c r="C70" s="114" t="s">
        <v>23</v>
      </c>
      <c r="D70" s="116"/>
    </row>
    <row r="71" spans="2:4" ht="15.75" thickBot="1" x14ac:dyDescent="0.3">
      <c r="B71" s="204" t="s">
        <v>1</v>
      </c>
      <c r="C71" s="205"/>
      <c r="D71" s="155">
        <f>SUM(D67:D70)</f>
        <v>477.18149999999997</v>
      </c>
    </row>
    <row r="74" spans="2:4" x14ac:dyDescent="0.25">
      <c r="B74" s="206" t="s">
        <v>42</v>
      </c>
      <c r="C74" s="206"/>
      <c r="D74" s="206"/>
    </row>
    <row r="75" spans="2:4" ht="15.75" thickBot="1" x14ac:dyDescent="0.3"/>
    <row r="76" spans="2:4" ht="15.75" thickBot="1" x14ac:dyDescent="0.3">
      <c r="B76" s="111">
        <v>2</v>
      </c>
      <c r="C76" s="137" t="s">
        <v>43</v>
      </c>
      <c r="D76" s="137" t="s">
        <v>12</v>
      </c>
    </row>
    <row r="77" spans="2:4" ht="15.75" thickBot="1" x14ac:dyDescent="0.3">
      <c r="B77" s="113" t="s">
        <v>26</v>
      </c>
      <c r="C77" s="114" t="s">
        <v>254</v>
      </c>
      <c r="D77" s="117">
        <f>D47</f>
        <v>346.54569444444451</v>
      </c>
    </row>
    <row r="78" spans="2:4" ht="15.75" thickBot="1" x14ac:dyDescent="0.3">
      <c r="B78" s="113" t="s">
        <v>29</v>
      </c>
      <c r="C78" s="114" t="s">
        <v>255</v>
      </c>
      <c r="D78" s="117">
        <f>E61</f>
        <v>783.39129555555564</v>
      </c>
    </row>
    <row r="79" spans="2:4" ht="15.75" thickBot="1" x14ac:dyDescent="0.3">
      <c r="B79" s="113" t="s">
        <v>40</v>
      </c>
      <c r="C79" s="114" t="s">
        <v>256</v>
      </c>
      <c r="D79" s="115">
        <f>D71</f>
        <v>477.18149999999997</v>
      </c>
    </row>
    <row r="80" spans="2:4" ht="15.75" thickBot="1" x14ac:dyDescent="0.3">
      <c r="B80" s="204" t="s">
        <v>1</v>
      </c>
      <c r="C80" s="205"/>
      <c r="D80" s="155">
        <f>SUM(D77:D79)</f>
        <v>1607.1184900000001</v>
      </c>
    </row>
    <row r="81" spans="2:9" x14ac:dyDescent="0.25">
      <c r="B81" s="2"/>
    </row>
    <row r="83" spans="2:9" x14ac:dyDescent="0.25">
      <c r="B83" s="203" t="s">
        <v>44</v>
      </c>
      <c r="C83" s="203"/>
      <c r="D83" s="203"/>
    </row>
    <row r="84" spans="2:9" ht="15.75" thickBot="1" x14ac:dyDescent="0.3"/>
    <row r="85" spans="2:9" ht="15.75" thickBot="1" x14ac:dyDescent="0.3">
      <c r="B85" s="111">
        <v>3</v>
      </c>
      <c r="C85" s="137" t="s">
        <v>45</v>
      </c>
      <c r="D85" s="137" t="s">
        <v>12</v>
      </c>
    </row>
    <row r="86" spans="2:9" ht="30.75" thickBot="1" x14ac:dyDescent="0.3">
      <c r="B86" s="113" t="s">
        <v>13</v>
      </c>
      <c r="C86" s="123" t="s">
        <v>322</v>
      </c>
      <c r="D86" s="124">
        <f>(D38+D47+E60)/12</f>
        <v>191.59026250000002</v>
      </c>
      <c r="E86" s="119">
        <v>5.2343130545706223E-3</v>
      </c>
    </row>
    <row r="87" spans="2:9" ht="15.75" thickBot="1" x14ac:dyDescent="0.3">
      <c r="B87" s="113" t="s">
        <v>15</v>
      </c>
      <c r="C87" s="126" t="s">
        <v>257</v>
      </c>
      <c r="D87" s="124">
        <f>D86*0.08</f>
        <v>15.327221000000002</v>
      </c>
      <c r="E87" s="119">
        <v>4.1874504436564982E-4</v>
      </c>
    </row>
    <row r="88" spans="2:9" ht="15.75" thickBot="1" x14ac:dyDescent="0.3">
      <c r="B88" s="113" t="s">
        <v>16</v>
      </c>
      <c r="C88" s="126" t="s">
        <v>273</v>
      </c>
      <c r="D88" s="124">
        <f>D87*0.5</f>
        <v>7.6636105000000008</v>
      </c>
      <c r="E88" s="119">
        <v>2.0678767622995051E-4</v>
      </c>
    </row>
    <row r="89" spans="2:9" ht="45.75" thickBot="1" x14ac:dyDescent="0.3">
      <c r="B89" s="113" t="s">
        <v>18</v>
      </c>
      <c r="C89" s="123" t="s">
        <v>259</v>
      </c>
      <c r="D89" s="124">
        <f>(((D38+D47+E61)/30)*7)/12</f>
        <v>56.625566472222225</v>
      </c>
      <c r="E89" s="119">
        <v>2.1389600260035509E-2</v>
      </c>
    </row>
    <row r="90" spans="2:9" ht="15.75" thickBot="1" x14ac:dyDescent="0.3">
      <c r="B90" s="113" t="s">
        <v>19</v>
      </c>
      <c r="C90" s="126" t="s">
        <v>269</v>
      </c>
      <c r="D90" s="124">
        <f>D89*0.368</f>
        <v>20.838208461777779</v>
      </c>
      <c r="E90" s="119">
        <v>7.8713728956930663E-3</v>
      </c>
    </row>
    <row r="91" spans="2:9" ht="15.75" thickBot="1" x14ac:dyDescent="0.3">
      <c r="B91" s="113" t="s">
        <v>21</v>
      </c>
      <c r="C91" s="126" t="s">
        <v>260</v>
      </c>
      <c r="D91" s="128">
        <f>((D89*0.08))*0.5</f>
        <v>2.2650226588888889</v>
      </c>
      <c r="E91" s="119">
        <v>8.5299916444854594E-4</v>
      </c>
      <c r="G91" s="119"/>
      <c r="H91" s="119"/>
      <c r="I91" s="119"/>
    </row>
    <row r="92" spans="2:9" ht="15.75" thickBot="1" x14ac:dyDescent="0.3">
      <c r="B92" s="204" t="s">
        <v>1</v>
      </c>
      <c r="C92" s="205"/>
      <c r="D92" s="157">
        <f>SUM(D86:D91)</f>
        <v>294.3098915928889</v>
      </c>
      <c r="E92" s="119"/>
      <c r="H92" s="119"/>
      <c r="I92" s="119"/>
    </row>
    <row r="93" spans="2:9" x14ac:dyDescent="0.25">
      <c r="H93" s="119"/>
      <c r="I93" s="119"/>
    </row>
    <row r="95" spans="2:9" x14ac:dyDescent="0.25">
      <c r="B95" s="203" t="s">
        <v>46</v>
      </c>
      <c r="C95" s="203"/>
      <c r="D95" s="203"/>
    </row>
    <row r="97" spans="2:9" x14ac:dyDescent="0.25">
      <c r="H97" s="119"/>
      <c r="I97" s="119"/>
    </row>
    <row r="98" spans="2:9" x14ac:dyDescent="0.25">
      <c r="B98" s="206" t="s">
        <v>47</v>
      </c>
      <c r="C98" s="206"/>
      <c r="D98" s="206"/>
      <c r="H98" s="119"/>
    </row>
    <row r="99" spans="2:9" ht="15.75" thickBot="1" x14ac:dyDescent="0.3">
      <c r="B99" s="118"/>
    </row>
    <row r="100" spans="2:9" ht="15.75" thickBot="1" x14ac:dyDescent="0.3">
      <c r="B100" s="111" t="s">
        <v>48</v>
      </c>
      <c r="C100" s="137" t="s">
        <v>49</v>
      </c>
      <c r="D100" s="137" t="s">
        <v>12</v>
      </c>
    </row>
    <row r="101" spans="2:9" ht="15.75" thickBot="1" x14ac:dyDescent="0.3">
      <c r="B101" s="113" t="s">
        <v>13</v>
      </c>
      <c r="C101" s="114" t="s">
        <v>106</v>
      </c>
      <c r="D101" s="115"/>
    </row>
    <row r="102" spans="2:9" ht="15.75" thickBot="1" x14ac:dyDescent="0.3">
      <c r="B102" s="113" t="s">
        <v>15</v>
      </c>
      <c r="C102" s="114" t="s">
        <v>107</v>
      </c>
      <c r="D102" s="115">
        <v>93.47</v>
      </c>
      <c r="E102" s="119">
        <v>1.2446033263090147E-2</v>
      </c>
    </row>
    <row r="103" spans="2:9" ht="15.75" thickBot="1" x14ac:dyDescent="0.3">
      <c r="B103" s="113" t="s">
        <v>16</v>
      </c>
      <c r="C103" s="114" t="s">
        <v>241</v>
      </c>
      <c r="D103" s="115">
        <v>1.59</v>
      </c>
      <c r="E103" s="119">
        <v>3.1664362922711174E-4</v>
      </c>
    </row>
    <row r="104" spans="2:9" ht="15.75" thickBot="1" x14ac:dyDescent="0.3">
      <c r="B104" s="113" t="s">
        <v>18</v>
      </c>
      <c r="C104" s="114" t="s">
        <v>108</v>
      </c>
      <c r="D104" s="115">
        <v>3.42</v>
      </c>
      <c r="E104" s="119">
        <v>4.9112073104613243E-4</v>
      </c>
    </row>
    <row r="105" spans="2:9" ht="15.75" thickBot="1" x14ac:dyDescent="0.3">
      <c r="B105" s="113" t="s">
        <v>19</v>
      </c>
      <c r="C105" s="114" t="s">
        <v>109</v>
      </c>
      <c r="D105" s="115">
        <v>1.24</v>
      </c>
      <c r="E105" s="119">
        <v>1.0597868406784963E-3</v>
      </c>
    </row>
    <row r="106" spans="2:9" ht="15.75" thickBot="1" x14ac:dyDescent="0.3">
      <c r="B106" s="113" t="s">
        <v>21</v>
      </c>
      <c r="C106" s="114" t="s">
        <v>110</v>
      </c>
      <c r="D106" s="116"/>
    </row>
    <row r="107" spans="2:9" ht="15.75" thickBot="1" x14ac:dyDescent="0.3">
      <c r="B107" s="204" t="s">
        <v>38</v>
      </c>
      <c r="C107" s="205"/>
      <c r="D107" s="158">
        <f>SUM(D101:D106)</f>
        <v>99.72</v>
      </c>
    </row>
    <row r="110" spans="2:9" x14ac:dyDescent="0.25">
      <c r="B110" s="206" t="s">
        <v>112</v>
      </c>
      <c r="C110" s="206"/>
      <c r="D110" s="206"/>
    </row>
    <row r="111" spans="2:9" ht="15.75" thickBot="1" x14ac:dyDescent="0.3">
      <c r="B111" s="118"/>
    </row>
    <row r="112" spans="2:9" ht="15.75" thickBot="1" x14ac:dyDescent="0.3">
      <c r="B112" s="111" t="s">
        <v>50</v>
      </c>
      <c r="C112" s="137" t="s">
        <v>111</v>
      </c>
      <c r="D112" s="137" t="s">
        <v>12</v>
      </c>
    </row>
    <row r="113" spans="2:4" ht="15.75" thickBot="1" x14ac:dyDescent="0.3">
      <c r="B113" s="113" t="s">
        <v>13</v>
      </c>
      <c r="C113" s="122" t="s">
        <v>263</v>
      </c>
      <c r="D113" s="115">
        <v>196.2</v>
      </c>
    </row>
    <row r="114" spans="2:4" ht="15.75" thickBot="1" x14ac:dyDescent="0.3">
      <c r="B114" s="204" t="s">
        <v>1</v>
      </c>
      <c r="C114" s="205"/>
      <c r="D114" s="158">
        <f>SUM(D113)</f>
        <v>196.2</v>
      </c>
    </row>
    <row r="117" spans="2:4" x14ac:dyDescent="0.25">
      <c r="B117" s="206" t="s">
        <v>51</v>
      </c>
      <c r="C117" s="206"/>
      <c r="D117" s="206"/>
    </row>
    <row r="118" spans="2:4" ht="15.75" thickBot="1" x14ac:dyDescent="0.3">
      <c r="B118" s="118"/>
    </row>
    <row r="119" spans="2:4" ht="15.75" thickBot="1" x14ac:dyDescent="0.3">
      <c r="B119" s="111">
        <v>4</v>
      </c>
      <c r="C119" s="137" t="s">
        <v>52</v>
      </c>
      <c r="D119" s="137" t="s">
        <v>12</v>
      </c>
    </row>
    <row r="120" spans="2:4" ht="15.75" thickBot="1" x14ac:dyDescent="0.3">
      <c r="B120" s="113" t="s">
        <v>48</v>
      </c>
      <c r="C120" s="114" t="s">
        <v>261</v>
      </c>
      <c r="D120" s="167">
        <f>D107</f>
        <v>99.72</v>
      </c>
    </row>
    <row r="121" spans="2:4" ht="15.75" thickBot="1" x14ac:dyDescent="0.3">
      <c r="B121" s="113" t="s">
        <v>50</v>
      </c>
      <c r="C121" s="130" t="s">
        <v>262</v>
      </c>
      <c r="D121" s="168">
        <f>D114</f>
        <v>196.2</v>
      </c>
    </row>
    <row r="122" spans="2:4" ht="15.75" thickBot="1" x14ac:dyDescent="0.3">
      <c r="B122" s="204" t="s">
        <v>1</v>
      </c>
      <c r="C122" s="205"/>
      <c r="D122" s="193">
        <f>SUM(D120:D121)</f>
        <v>295.91999999999996</v>
      </c>
    </row>
    <row r="125" spans="2:4" x14ac:dyDescent="0.25">
      <c r="B125" s="203" t="s">
        <v>53</v>
      </c>
      <c r="C125" s="203"/>
      <c r="D125" s="203"/>
    </row>
    <row r="126" spans="2:4" ht="15.75" thickBot="1" x14ac:dyDescent="0.3"/>
    <row r="127" spans="2:4" ht="15.75" thickBot="1" x14ac:dyDescent="0.3">
      <c r="B127" s="195">
        <v>5</v>
      </c>
      <c r="C127" s="196" t="s">
        <v>5</v>
      </c>
      <c r="D127" s="197" t="s">
        <v>12</v>
      </c>
    </row>
    <row r="128" spans="2:4" ht="15.75" thickBot="1" x14ac:dyDescent="0.3">
      <c r="B128" s="198" t="s">
        <v>13</v>
      </c>
      <c r="C128" s="199" t="s">
        <v>54</v>
      </c>
      <c r="D128" s="200">
        <f>Uniformes!H15</f>
        <v>70.569444444444443</v>
      </c>
    </row>
    <row r="129" spans="2:5" ht="15.75" thickBot="1" x14ac:dyDescent="0.3">
      <c r="B129" s="198" t="s">
        <v>15</v>
      </c>
      <c r="C129" s="199" t="s">
        <v>144</v>
      </c>
      <c r="D129" s="200">
        <f>'Material de uso individual'!H10</f>
        <v>37.958333333333336</v>
      </c>
    </row>
    <row r="130" spans="2:5" ht="15.75" thickBot="1" x14ac:dyDescent="0.3">
      <c r="B130" s="198" t="s">
        <v>16</v>
      </c>
      <c r="C130" s="199" t="s">
        <v>145</v>
      </c>
      <c r="D130" s="200">
        <f>'Masterial de uso coletivo'!H7</f>
        <v>10</v>
      </c>
    </row>
    <row r="131" spans="2:5" ht="15.75" thickBot="1" x14ac:dyDescent="0.3">
      <c r="B131" s="198" t="s">
        <v>18</v>
      </c>
      <c r="C131" s="199" t="s">
        <v>146</v>
      </c>
      <c r="D131" s="200">
        <f>'Equipamentos-Depreciação'!N23</f>
        <v>337.53043185550081</v>
      </c>
    </row>
    <row r="132" spans="2:5" ht="15.75" thickBot="1" x14ac:dyDescent="0.3">
      <c r="B132" s="204" t="s">
        <v>38</v>
      </c>
      <c r="C132" s="205"/>
      <c r="D132" s="155">
        <f>SUM(D128:D131)</f>
        <v>456.05820963327858</v>
      </c>
    </row>
    <row r="135" spans="2:5" x14ac:dyDescent="0.25">
      <c r="B135" s="203" t="s">
        <v>55</v>
      </c>
      <c r="C135" s="203"/>
      <c r="D135" s="203"/>
    </row>
    <row r="136" spans="2:5" ht="15.75" thickBot="1" x14ac:dyDescent="0.3"/>
    <row r="137" spans="2:5" ht="15.75" thickBot="1" x14ac:dyDescent="0.3">
      <c r="B137" s="111">
        <v>6</v>
      </c>
      <c r="C137" s="132" t="s">
        <v>6</v>
      </c>
      <c r="D137" s="137" t="s">
        <v>31</v>
      </c>
      <c r="E137" s="137" t="s">
        <v>12</v>
      </c>
    </row>
    <row r="138" spans="2:5" ht="15.75" thickBot="1" x14ac:dyDescent="0.3">
      <c r="B138" s="113" t="s">
        <v>13</v>
      </c>
      <c r="C138" s="114" t="s">
        <v>7</v>
      </c>
      <c r="D138" s="133">
        <v>0.06</v>
      </c>
      <c r="E138" s="115">
        <f>(D132+D122+D92+D80+D38)*D138</f>
        <v>266.13849547357</v>
      </c>
    </row>
    <row r="139" spans="2:5" ht="15.75" thickBot="1" x14ac:dyDescent="0.3">
      <c r="B139" s="113" t="s">
        <v>15</v>
      </c>
      <c r="C139" s="114" t="s">
        <v>9</v>
      </c>
      <c r="D139" s="133">
        <v>6.7900000000000002E-2</v>
      </c>
      <c r="E139" s="115">
        <f>(D132+D122+D92+D80+D38+E138)*D139</f>
        <v>319.2508678869122</v>
      </c>
    </row>
    <row r="140" spans="2:5" ht="15.75" thickBot="1" x14ac:dyDescent="0.3">
      <c r="B140" s="113" t="s">
        <v>16</v>
      </c>
      <c r="C140" s="114" t="s">
        <v>8</v>
      </c>
      <c r="D140" s="133"/>
      <c r="E140" s="116"/>
    </row>
    <row r="141" spans="2:5" ht="15.75" thickBot="1" x14ac:dyDescent="0.3">
      <c r="B141" s="113"/>
      <c r="C141" s="114" t="s">
        <v>56</v>
      </c>
      <c r="D141" s="133"/>
      <c r="E141" s="117">
        <f>D157*0.0365</f>
        <v>200.62137913783553</v>
      </c>
    </row>
    <row r="142" spans="2:5" ht="15.75" thickBot="1" x14ac:dyDescent="0.3">
      <c r="B142" s="113"/>
      <c r="C142" s="114" t="s">
        <v>57</v>
      </c>
      <c r="D142" s="133"/>
      <c r="E142" s="115"/>
    </row>
    <row r="143" spans="2:5" ht="15.75" thickBot="1" x14ac:dyDescent="0.3">
      <c r="B143" s="113"/>
      <c r="C143" s="114" t="s">
        <v>58</v>
      </c>
      <c r="D143" s="133"/>
      <c r="E143" s="115">
        <f>D157*0.05</f>
        <v>274.82380703813089</v>
      </c>
    </row>
    <row r="144" spans="2:5" ht="15.75" thickBot="1" x14ac:dyDescent="0.3">
      <c r="B144" s="204" t="s">
        <v>38</v>
      </c>
      <c r="C144" s="205"/>
      <c r="D144" s="192"/>
      <c r="E144" s="155">
        <f>SUM(E138:E143)</f>
        <v>1060.8345495364488</v>
      </c>
    </row>
    <row r="147" spans="2:4" x14ac:dyDescent="0.25">
      <c r="B147" s="203" t="s">
        <v>59</v>
      </c>
      <c r="C147" s="203"/>
      <c r="D147" s="203"/>
    </row>
    <row r="148" spans="2:4" ht="15.75" thickBot="1" x14ac:dyDescent="0.3"/>
    <row r="149" spans="2:4" ht="15.75" thickBot="1" x14ac:dyDescent="0.3">
      <c r="B149" s="111"/>
      <c r="C149" s="137" t="s">
        <v>60</v>
      </c>
      <c r="D149" s="137" t="s">
        <v>12</v>
      </c>
    </row>
    <row r="150" spans="2:4" ht="15.75" thickBot="1" x14ac:dyDescent="0.3">
      <c r="B150" s="134" t="s">
        <v>13</v>
      </c>
      <c r="C150" s="114" t="s">
        <v>10</v>
      </c>
      <c r="D150" s="135">
        <f>D38</f>
        <v>1782.2350000000001</v>
      </c>
    </row>
    <row r="151" spans="2:4" ht="15.75" thickBot="1" x14ac:dyDescent="0.3">
      <c r="B151" s="134" t="s">
        <v>15</v>
      </c>
      <c r="C151" s="114" t="s">
        <v>24</v>
      </c>
      <c r="D151" s="135">
        <f>D80</f>
        <v>1607.1184900000001</v>
      </c>
    </row>
    <row r="152" spans="2:4" ht="15.75" thickBot="1" x14ac:dyDescent="0.3">
      <c r="B152" s="134" t="s">
        <v>16</v>
      </c>
      <c r="C152" s="114" t="s">
        <v>44</v>
      </c>
      <c r="D152" s="135">
        <f>D92</f>
        <v>294.3098915928889</v>
      </c>
    </row>
    <row r="153" spans="2:4" ht="15.75" thickBot="1" x14ac:dyDescent="0.3">
      <c r="B153" s="134" t="s">
        <v>18</v>
      </c>
      <c r="C153" s="114" t="s">
        <v>46</v>
      </c>
      <c r="D153" s="135">
        <f>D122</f>
        <v>295.91999999999996</v>
      </c>
    </row>
    <row r="154" spans="2:4" ht="15.75" thickBot="1" x14ac:dyDescent="0.3">
      <c r="B154" s="134" t="s">
        <v>19</v>
      </c>
      <c r="C154" s="114" t="s">
        <v>53</v>
      </c>
      <c r="D154" s="135">
        <f>D132</f>
        <v>456.05820963327858</v>
      </c>
    </row>
    <row r="155" spans="2:4" ht="15.75" thickBot="1" x14ac:dyDescent="0.3">
      <c r="B155" s="225" t="s">
        <v>61</v>
      </c>
      <c r="C155" s="226"/>
      <c r="D155" s="135">
        <f>SUM(D150:D154)</f>
        <v>4435.6415912261682</v>
      </c>
    </row>
    <row r="156" spans="2:4" ht="15.75" thickBot="1" x14ac:dyDescent="0.3">
      <c r="B156" s="134" t="s">
        <v>21</v>
      </c>
      <c r="C156" s="114" t="s">
        <v>62</v>
      </c>
      <c r="D156" s="135">
        <f>E144</f>
        <v>1060.8345495364488</v>
      </c>
    </row>
    <row r="157" spans="2:4" ht="15.75" thickBot="1" x14ac:dyDescent="0.3">
      <c r="B157" s="204" t="s">
        <v>63</v>
      </c>
      <c r="C157" s="205"/>
      <c r="D157" s="194">
        <f>((D155+E138+E139)/0.9135)</f>
        <v>5496.4761407626174</v>
      </c>
    </row>
    <row r="158" spans="2:4" ht="15.75" thickBot="1" x14ac:dyDescent="0.3">
      <c r="C158" s="164" t="s">
        <v>113</v>
      </c>
      <c r="D158" s="165">
        <f>D157*2</f>
        <v>10992.952281525235</v>
      </c>
    </row>
    <row r="160" spans="2:4" x14ac:dyDescent="0.25">
      <c r="B160" s="203" t="s">
        <v>317</v>
      </c>
      <c r="C160" s="203"/>
      <c r="D160" s="203"/>
    </row>
    <row r="161" spans="2:4" ht="15.75" thickBot="1" x14ac:dyDescent="0.3"/>
    <row r="162" spans="2:4" ht="15.75" thickBot="1" x14ac:dyDescent="0.3">
      <c r="B162" s="190"/>
      <c r="C162" s="191" t="s">
        <v>318</v>
      </c>
      <c r="D162" s="188" t="s">
        <v>12</v>
      </c>
    </row>
    <row r="163" spans="2:4" ht="15.75" thickBot="1" x14ac:dyDescent="0.3">
      <c r="B163" s="184" t="s">
        <v>13</v>
      </c>
      <c r="C163" s="186" t="s">
        <v>319</v>
      </c>
      <c r="D163" s="185">
        <f>D158</f>
        <v>10992.952281525235</v>
      </c>
    </row>
    <row r="164" spans="2:4" ht="15.75" thickBot="1" x14ac:dyDescent="0.3">
      <c r="B164" s="184" t="s">
        <v>15</v>
      </c>
      <c r="C164" s="186" t="s">
        <v>320</v>
      </c>
      <c r="D164" s="185">
        <f>D163*D18</f>
        <v>21985.90456305047</v>
      </c>
    </row>
    <row r="165" spans="2:4" ht="15.75" thickBot="1" x14ac:dyDescent="0.3">
      <c r="B165" s="184" t="s">
        <v>16</v>
      </c>
      <c r="C165" s="186" t="s">
        <v>321</v>
      </c>
      <c r="D165" s="185">
        <f>D164*12</f>
        <v>263830.85475660564</v>
      </c>
    </row>
  </sheetData>
  <mergeCells count="38">
    <mergeCell ref="B157:C157"/>
    <mergeCell ref="B107:C107"/>
    <mergeCell ref="B110:D110"/>
    <mergeCell ref="B114:C114"/>
    <mergeCell ref="B117:D117"/>
    <mergeCell ref="B122:C122"/>
    <mergeCell ref="B125:D125"/>
    <mergeCell ref="B132:C132"/>
    <mergeCell ref="B135:D135"/>
    <mergeCell ref="B144:C144"/>
    <mergeCell ref="B147:D147"/>
    <mergeCell ref="B155:C155"/>
    <mergeCell ref="B74:D74"/>
    <mergeCell ref="B80:C80"/>
    <mergeCell ref="B83:D83"/>
    <mergeCell ref="B92:C92"/>
    <mergeCell ref="B95:D95"/>
    <mergeCell ref="B47:C47"/>
    <mergeCell ref="B50:E50"/>
    <mergeCell ref="B61:C61"/>
    <mergeCell ref="B64:D64"/>
    <mergeCell ref="B71:C71"/>
    <mergeCell ref="B160:D160"/>
    <mergeCell ref="B40:D40"/>
    <mergeCell ref="B1:E1"/>
    <mergeCell ref="B2:E2"/>
    <mergeCell ref="B28:D28"/>
    <mergeCell ref="B38:C38"/>
    <mergeCell ref="B3:E3"/>
    <mergeCell ref="B4:E4"/>
    <mergeCell ref="B6:D6"/>
    <mergeCell ref="B7:D7"/>
    <mergeCell ref="B8:D8"/>
    <mergeCell ref="B9:D9"/>
    <mergeCell ref="B16:D16"/>
    <mergeCell ref="B20:D20"/>
    <mergeCell ref="B98:D98"/>
    <mergeCell ref="B42:D42"/>
  </mergeCells>
  <hyperlinks>
    <hyperlink ref="C4" r:id="rId1" display="https://www.comprasgovernamentais.gov.br/index.php/noticias/942-planilha-noticia"/>
  </hyperlinks>
  <pageMargins left="0.511811024" right="0.511811024" top="0.78740157499999996" bottom="0.78740157499999996" header="0.31496062000000002" footer="0.31496062000000002"/>
  <pageSetup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66"/>
  <sheetViews>
    <sheetView showGridLines="0" topLeftCell="A101" zoomScaleNormal="100" workbookViewId="0">
      <selection activeCell="H125" sqref="H125"/>
    </sheetView>
  </sheetViews>
  <sheetFormatPr defaultRowHeight="15" x14ac:dyDescent="0.25"/>
  <cols>
    <col min="1" max="1" width="6.7109375" style="93" customWidth="1"/>
    <col min="2" max="2" width="12.28515625" style="93" customWidth="1"/>
    <col min="3" max="3" width="95.28515625" style="93" customWidth="1"/>
    <col min="4" max="4" width="26.140625" style="93" customWidth="1"/>
    <col min="5" max="5" width="14.28515625" style="93" customWidth="1"/>
    <col min="6" max="6" width="12.7109375" style="93" customWidth="1"/>
    <col min="7" max="7" width="12" style="93" customWidth="1"/>
    <col min="8" max="8" width="15.140625" style="93" customWidth="1"/>
    <col min="9" max="9" width="10.7109375" style="93" bestFit="1" customWidth="1"/>
    <col min="10" max="16384" width="9.140625" style="93"/>
  </cols>
  <sheetData>
    <row r="1" spans="2:5" s="41" customFormat="1" x14ac:dyDescent="0.25">
      <c r="B1" s="210" t="s">
        <v>64</v>
      </c>
      <c r="C1" s="210"/>
      <c r="D1" s="210"/>
      <c r="E1" s="210"/>
    </row>
    <row r="2" spans="2:5" s="41" customFormat="1" x14ac:dyDescent="0.25">
      <c r="B2" s="210" t="s">
        <v>65</v>
      </c>
      <c r="C2" s="210"/>
      <c r="D2" s="210"/>
      <c r="E2" s="210"/>
    </row>
    <row r="3" spans="2:5" s="41" customFormat="1" x14ac:dyDescent="0.25">
      <c r="B3" s="210" t="s">
        <v>286</v>
      </c>
      <c r="C3" s="210"/>
      <c r="D3" s="210"/>
      <c r="E3" s="210"/>
    </row>
    <row r="4" spans="2:5" x14ac:dyDescent="0.25">
      <c r="B4" s="211" t="s">
        <v>66</v>
      </c>
      <c r="C4" s="211"/>
      <c r="D4" s="211"/>
      <c r="E4" s="211"/>
    </row>
    <row r="5" spans="2:5" ht="15.75" thickBot="1" x14ac:dyDescent="0.3">
      <c r="B5" s="138"/>
      <c r="C5" s="138"/>
      <c r="D5" s="138"/>
      <c r="E5" s="138"/>
    </row>
    <row r="6" spans="2:5" s="136" customFormat="1" x14ac:dyDescent="0.25">
      <c r="B6" s="216" t="s">
        <v>288</v>
      </c>
      <c r="C6" s="217"/>
      <c r="D6" s="218"/>
    </row>
    <row r="7" spans="2:5" s="136" customFormat="1" x14ac:dyDescent="0.25">
      <c r="B7" s="219" t="s">
        <v>289</v>
      </c>
      <c r="C7" s="220"/>
      <c r="D7" s="221"/>
    </row>
    <row r="8" spans="2:5" s="136" customFormat="1" ht="15.75" thickBot="1" x14ac:dyDescent="0.3">
      <c r="B8" s="222" t="s">
        <v>290</v>
      </c>
      <c r="C8" s="223"/>
      <c r="D8" s="224"/>
    </row>
    <row r="9" spans="2:5" ht="15.75" thickBot="1" x14ac:dyDescent="0.3">
      <c r="B9" s="213" t="s">
        <v>287</v>
      </c>
      <c r="C9" s="214" t="s">
        <v>11</v>
      </c>
      <c r="D9" s="215" t="s">
        <v>12</v>
      </c>
    </row>
    <row r="10" spans="2:5" ht="15.75" thickBot="1" x14ac:dyDescent="0.3">
      <c r="B10" s="113" t="s">
        <v>13</v>
      </c>
      <c r="C10" s="114" t="s">
        <v>291</v>
      </c>
      <c r="D10" s="139" t="s">
        <v>309</v>
      </c>
    </row>
    <row r="11" spans="2:5" ht="15.75" thickBot="1" x14ac:dyDescent="0.3">
      <c r="B11" s="113" t="s">
        <v>15</v>
      </c>
      <c r="C11" s="114" t="s">
        <v>292</v>
      </c>
      <c r="D11" s="115" t="s">
        <v>310</v>
      </c>
    </row>
    <row r="12" spans="2:5" ht="15.75" thickBot="1" x14ac:dyDescent="0.3">
      <c r="B12" s="113" t="s">
        <v>16</v>
      </c>
      <c r="C12" s="114" t="s">
        <v>294</v>
      </c>
      <c r="D12" s="115" t="s">
        <v>311</v>
      </c>
    </row>
    <row r="13" spans="2:5" ht="15.75" thickBot="1" x14ac:dyDescent="0.3">
      <c r="B13" s="113" t="s">
        <v>18</v>
      </c>
      <c r="C13" s="114" t="s">
        <v>312</v>
      </c>
      <c r="D13" s="140">
        <v>43537</v>
      </c>
    </row>
    <row r="14" spans="2:5" ht="15.75" thickBot="1" x14ac:dyDescent="0.3">
      <c r="B14" s="144" t="s">
        <v>19</v>
      </c>
      <c r="C14" s="146" t="s">
        <v>293</v>
      </c>
      <c r="D14" s="145">
        <v>12</v>
      </c>
    </row>
    <row r="15" spans="2:5" ht="15.75" thickBot="1" x14ac:dyDescent="0.3">
      <c r="B15" s="138"/>
      <c r="C15" s="110"/>
      <c r="D15" s="138"/>
      <c r="E15" s="138"/>
    </row>
    <row r="16" spans="2:5" ht="15.75" thickBot="1" x14ac:dyDescent="0.3">
      <c r="B16" s="213" t="s">
        <v>295</v>
      </c>
      <c r="C16" s="214" t="s">
        <v>11</v>
      </c>
      <c r="D16" s="215" t="s">
        <v>12</v>
      </c>
    </row>
    <row r="17" spans="2:5" ht="35.25" customHeight="1" thickBot="1" x14ac:dyDescent="0.3">
      <c r="B17" s="134" t="s">
        <v>296</v>
      </c>
      <c r="C17" s="143" t="s">
        <v>299</v>
      </c>
      <c r="D17" s="142" t="s">
        <v>314</v>
      </c>
    </row>
    <row r="18" spans="2:5" ht="30.75" thickBot="1" x14ac:dyDescent="0.3">
      <c r="B18" s="134" t="s">
        <v>298</v>
      </c>
      <c r="C18" s="143" t="s">
        <v>297</v>
      </c>
      <c r="D18" s="141">
        <v>1</v>
      </c>
    </row>
    <row r="19" spans="2:5" ht="15.75" thickBot="1" x14ac:dyDescent="0.3">
      <c r="B19" s="138"/>
      <c r="C19" s="110"/>
      <c r="D19" s="138"/>
      <c r="E19" s="138"/>
    </row>
    <row r="20" spans="2:5" ht="15.75" thickBot="1" x14ac:dyDescent="0.3">
      <c r="B20" s="213" t="s">
        <v>300</v>
      </c>
      <c r="C20" s="214" t="s">
        <v>11</v>
      </c>
      <c r="D20" s="215" t="s">
        <v>12</v>
      </c>
    </row>
    <row r="21" spans="2:5" ht="30.75" thickBot="1" x14ac:dyDescent="0.3">
      <c r="B21" s="147">
        <v>1</v>
      </c>
      <c r="C21" s="146" t="s">
        <v>301</v>
      </c>
      <c r="D21" s="148" t="s">
        <v>323</v>
      </c>
    </row>
    <row r="22" spans="2:5" ht="15.75" thickBot="1" x14ac:dyDescent="0.3">
      <c r="B22" s="149">
        <v>2</v>
      </c>
      <c r="C22" s="150" t="s">
        <v>303</v>
      </c>
      <c r="D22" s="151" t="s">
        <v>307</v>
      </c>
    </row>
    <row r="23" spans="2:5" ht="15.75" thickBot="1" x14ac:dyDescent="0.3">
      <c r="B23" s="147">
        <v>3</v>
      </c>
      <c r="C23" s="146" t="s">
        <v>304</v>
      </c>
      <c r="D23" s="152">
        <v>1246.32</v>
      </c>
    </row>
    <row r="24" spans="2:5" ht="17.25" customHeight="1" thickBot="1" x14ac:dyDescent="0.3">
      <c r="B24" s="149">
        <v>4</v>
      </c>
      <c r="C24" s="150" t="s">
        <v>305</v>
      </c>
      <c r="D24" s="153" t="s">
        <v>308</v>
      </c>
    </row>
    <row r="25" spans="2:5" ht="18.75" customHeight="1" thickBot="1" x14ac:dyDescent="0.3">
      <c r="B25" s="147">
        <v>5</v>
      </c>
      <c r="C25" s="146" t="s">
        <v>306</v>
      </c>
      <c r="D25" s="154" t="s">
        <v>313</v>
      </c>
    </row>
    <row r="26" spans="2:5" x14ac:dyDescent="0.25">
      <c r="B26" s="138"/>
      <c r="C26" s="138"/>
      <c r="D26" s="138"/>
      <c r="E26" s="138"/>
    </row>
    <row r="27" spans="2:5" x14ac:dyDescent="0.25">
      <c r="B27" s="138"/>
      <c r="C27" s="138"/>
      <c r="D27" s="138"/>
      <c r="E27" s="138"/>
    </row>
    <row r="28" spans="2:5" x14ac:dyDescent="0.25">
      <c r="B28" s="212" t="s">
        <v>10</v>
      </c>
      <c r="C28" s="212"/>
      <c r="D28" s="212"/>
    </row>
    <row r="29" spans="2:5" ht="15.75" thickBot="1" x14ac:dyDescent="0.3"/>
    <row r="30" spans="2:5" ht="15.75" thickBot="1" x14ac:dyDescent="0.3">
      <c r="B30" s="111">
        <v>1</v>
      </c>
      <c r="C30" s="137" t="s">
        <v>11</v>
      </c>
      <c r="D30" s="137" t="s">
        <v>12</v>
      </c>
    </row>
    <row r="31" spans="2:5" ht="15.75" thickBot="1" x14ac:dyDescent="0.3">
      <c r="B31" s="113" t="s">
        <v>13</v>
      </c>
      <c r="C31" s="114" t="s">
        <v>204</v>
      </c>
      <c r="D31" s="115">
        <v>1370.95</v>
      </c>
    </row>
    <row r="32" spans="2:5" ht="15.75" thickBot="1" x14ac:dyDescent="0.3">
      <c r="B32" s="113" t="s">
        <v>15</v>
      </c>
      <c r="C32" s="114" t="s">
        <v>206</v>
      </c>
      <c r="D32" s="115">
        <f>D31*0.3</f>
        <v>411.28500000000003</v>
      </c>
    </row>
    <row r="33" spans="2:4" ht="15.75" thickBot="1" x14ac:dyDescent="0.3">
      <c r="B33" s="113" t="s">
        <v>16</v>
      </c>
      <c r="C33" s="114" t="s">
        <v>17</v>
      </c>
      <c r="D33" s="116"/>
    </row>
    <row r="34" spans="2:4" ht="15.75" thickBot="1" x14ac:dyDescent="0.3">
      <c r="B34" s="113" t="s">
        <v>18</v>
      </c>
      <c r="C34" s="114" t="s">
        <v>0</v>
      </c>
      <c r="D34" s="116"/>
    </row>
    <row r="35" spans="2:4" ht="15.75" thickBot="1" x14ac:dyDescent="0.3">
      <c r="B35" s="113" t="s">
        <v>19</v>
      </c>
      <c r="C35" s="114" t="s">
        <v>20</v>
      </c>
      <c r="D35" s="116"/>
    </row>
    <row r="36" spans="2:4" ht="15.75" thickBot="1" x14ac:dyDescent="0.3">
      <c r="B36" s="113" t="s">
        <v>21</v>
      </c>
      <c r="C36" s="114" t="s">
        <v>23</v>
      </c>
      <c r="D36" s="116"/>
    </row>
    <row r="37" spans="2:4" ht="15.75" thickBot="1" x14ac:dyDescent="0.3">
      <c r="B37" s="113"/>
      <c r="C37" s="114"/>
      <c r="D37" s="116"/>
    </row>
    <row r="38" spans="2:4" ht="15.75" thickBot="1" x14ac:dyDescent="0.3">
      <c r="B38" s="204" t="s">
        <v>1</v>
      </c>
      <c r="C38" s="205"/>
      <c r="D38" s="155">
        <f>SUM(D31:D37)</f>
        <v>1782.2350000000001</v>
      </c>
    </row>
    <row r="40" spans="2:4" x14ac:dyDescent="0.25">
      <c r="B40" s="203" t="s">
        <v>24</v>
      </c>
      <c r="C40" s="203"/>
      <c r="D40" s="203"/>
    </row>
    <row r="41" spans="2:4" x14ac:dyDescent="0.25">
      <c r="B41" s="118"/>
    </row>
    <row r="42" spans="2:4" x14ac:dyDescent="0.25">
      <c r="B42" s="206" t="s">
        <v>25</v>
      </c>
      <c r="C42" s="206"/>
      <c r="D42" s="206"/>
    </row>
    <row r="43" spans="2:4" ht="15.75" thickBot="1" x14ac:dyDescent="0.3"/>
    <row r="44" spans="2:4" ht="15.75" thickBot="1" x14ac:dyDescent="0.3">
      <c r="B44" s="111" t="s">
        <v>26</v>
      </c>
      <c r="C44" s="137" t="s">
        <v>27</v>
      </c>
      <c r="D44" s="137" t="s">
        <v>12</v>
      </c>
    </row>
    <row r="45" spans="2:4" ht="15.75" thickBot="1" x14ac:dyDescent="0.3">
      <c r="B45" s="113" t="s">
        <v>13</v>
      </c>
      <c r="C45" s="114" t="s">
        <v>267</v>
      </c>
      <c r="D45" s="115">
        <f>D38/12</f>
        <v>148.51958333333334</v>
      </c>
    </row>
    <row r="46" spans="2:4" ht="30.75" thickBot="1" x14ac:dyDescent="0.3">
      <c r="B46" s="113" t="s">
        <v>15</v>
      </c>
      <c r="C46" s="114" t="s">
        <v>252</v>
      </c>
      <c r="D46" s="117">
        <f>(D38/3)/12+D45</f>
        <v>198.02611111111113</v>
      </c>
    </row>
    <row r="47" spans="2:4" ht="15.75" thickBot="1" x14ac:dyDescent="0.3">
      <c r="B47" s="204" t="s">
        <v>1</v>
      </c>
      <c r="C47" s="205"/>
      <c r="D47" s="155">
        <f>SUM(D45:D46)</f>
        <v>346.54569444444451</v>
      </c>
    </row>
    <row r="50" spans="2:5" ht="32.25" customHeight="1" x14ac:dyDescent="0.25">
      <c r="B50" s="209" t="s">
        <v>28</v>
      </c>
      <c r="C50" s="209"/>
      <c r="D50" s="209"/>
      <c r="E50" s="209"/>
    </row>
    <row r="51" spans="2:5" ht="15.75" thickBot="1" x14ac:dyDescent="0.3"/>
    <row r="52" spans="2:5" ht="15.75" thickBot="1" x14ac:dyDescent="0.3">
      <c r="B52" s="111" t="s">
        <v>29</v>
      </c>
      <c r="C52" s="137" t="s">
        <v>30</v>
      </c>
      <c r="D52" s="137" t="s">
        <v>31</v>
      </c>
      <c r="E52" s="137" t="s">
        <v>12</v>
      </c>
    </row>
    <row r="53" spans="2:5" ht="15.75" thickBot="1" x14ac:dyDescent="0.3">
      <c r="B53" s="113" t="s">
        <v>13</v>
      </c>
      <c r="C53" s="114" t="s">
        <v>32</v>
      </c>
      <c r="D53" s="120">
        <v>0.2</v>
      </c>
      <c r="E53" s="115">
        <f>($D$38+$D$47)*D53</f>
        <v>425.75613888888893</v>
      </c>
    </row>
    <row r="54" spans="2:5" ht="15.75" thickBot="1" x14ac:dyDescent="0.3">
      <c r="B54" s="113" t="s">
        <v>15</v>
      </c>
      <c r="C54" s="114" t="s">
        <v>33</v>
      </c>
      <c r="D54" s="120">
        <v>2.5000000000000001E-2</v>
      </c>
      <c r="E54" s="115">
        <f t="shared" ref="E54:E59" si="0">($D$38+$D$47)*D54</f>
        <v>53.219517361111116</v>
      </c>
    </row>
    <row r="55" spans="2:5" ht="15.75" thickBot="1" x14ac:dyDescent="0.3">
      <c r="B55" s="113" t="s">
        <v>16</v>
      </c>
      <c r="C55" s="114" t="s">
        <v>34</v>
      </c>
      <c r="D55" s="121">
        <v>0.03</v>
      </c>
      <c r="E55" s="115">
        <f t="shared" si="0"/>
        <v>63.863420833333336</v>
      </c>
    </row>
    <row r="56" spans="2:5" ht="15.75" thickBot="1" x14ac:dyDescent="0.3">
      <c r="B56" s="113" t="s">
        <v>18</v>
      </c>
      <c r="C56" s="114" t="s">
        <v>35</v>
      </c>
      <c r="D56" s="120">
        <v>1.4999999999999999E-2</v>
      </c>
      <c r="E56" s="115">
        <f t="shared" si="0"/>
        <v>31.931710416666668</v>
      </c>
    </row>
    <row r="57" spans="2:5" ht="15.75" thickBot="1" x14ac:dyDescent="0.3">
      <c r="B57" s="113" t="s">
        <v>19</v>
      </c>
      <c r="C57" s="114" t="s">
        <v>36</v>
      </c>
      <c r="D57" s="120">
        <v>0.01</v>
      </c>
      <c r="E57" s="115">
        <f t="shared" si="0"/>
        <v>21.287806944444448</v>
      </c>
    </row>
    <row r="58" spans="2:5" ht="15.75" thickBot="1" x14ac:dyDescent="0.3">
      <c r="B58" s="113" t="s">
        <v>21</v>
      </c>
      <c r="C58" s="114" t="s">
        <v>2</v>
      </c>
      <c r="D58" s="120">
        <v>6.0000000000000001E-3</v>
      </c>
      <c r="E58" s="115">
        <f t="shared" si="0"/>
        <v>12.772684166666668</v>
      </c>
    </row>
    <row r="59" spans="2:5" ht="15.75" thickBot="1" x14ac:dyDescent="0.3">
      <c r="B59" s="113" t="s">
        <v>22</v>
      </c>
      <c r="C59" s="114" t="s">
        <v>3</v>
      </c>
      <c r="D59" s="120">
        <v>2E-3</v>
      </c>
      <c r="E59" s="115">
        <f t="shared" si="0"/>
        <v>4.257561388888889</v>
      </c>
    </row>
    <row r="60" spans="2:5" ht="15.75" thickBot="1" x14ac:dyDescent="0.3">
      <c r="B60" s="113" t="s">
        <v>37</v>
      </c>
      <c r="C60" s="114" t="s">
        <v>4</v>
      </c>
      <c r="D60" s="120">
        <v>0.08</v>
      </c>
      <c r="E60" s="115">
        <f>($D$38+$D$47)*D60</f>
        <v>170.30245555555558</v>
      </c>
    </row>
    <row r="61" spans="2:5" ht="15.75" thickBot="1" x14ac:dyDescent="0.3">
      <c r="B61" s="204" t="s">
        <v>38</v>
      </c>
      <c r="C61" s="205"/>
      <c r="D61" s="156"/>
      <c r="E61" s="155">
        <f>SUM(E53:E60)</f>
        <v>783.39129555555564</v>
      </c>
    </row>
    <row r="64" spans="2:5" x14ac:dyDescent="0.25">
      <c r="B64" s="206" t="s">
        <v>39</v>
      </c>
      <c r="C64" s="206"/>
      <c r="D64" s="206"/>
    </row>
    <row r="65" spans="2:4" ht="15.75" thickBot="1" x14ac:dyDescent="0.3"/>
    <row r="66" spans="2:4" ht="15.75" thickBot="1" x14ac:dyDescent="0.3">
      <c r="B66" s="111" t="s">
        <v>40</v>
      </c>
      <c r="C66" s="137" t="s">
        <v>41</v>
      </c>
      <c r="D66" s="137" t="s">
        <v>12</v>
      </c>
    </row>
    <row r="67" spans="2:4" ht="15.75" thickBot="1" x14ac:dyDescent="0.3">
      <c r="B67" s="113" t="s">
        <v>13</v>
      </c>
      <c r="C67" s="122" t="s">
        <v>215</v>
      </c>
      <c r="D67" s="117">
        <f>(44*3.8)-(D31*0.06)</f>
        <v>84.942999999999984</v>
      </c>
    </row>
    <row r="68" spans="2:4" ht="15.75" thickBot="1" x14ac:dyDescent="0.3">
      <c r="B68" s="113" t="s">
        <v>15</v>
      </c>
      <c r="C68" s="114" t="s">
        <v>268</v>
      </c>
      <c r="D68" s="115">
        <f>(22*22)-(484*0.05)</f>
        <v>459.8</v>
      </c>
    </row>
    <row r="69" spans="2:4" ht="15.75" thickBot="1" x14ac:dyDescent="0.3">
      <c r="B69" s="113" t="s">
        <v>16</v>
      </c>
      <c r="C69" s="114" t="s">
        <v>212</v>
      </c>
      <c r="D69" s="115">
        <v>90.81</v>
      </c>
    </row>
    <row r="70" spans="2:4" ht="15.75" thickBot="1" x14ac:dyDescent="0.3">
      <c r="B70" s="113" t="s">
        <v>18</v>
      </c>
      <c r="C70" s="114" t="s">
        <v>23</v>
      </c>
      <c r="D70" s="116"/>
    </row>
    <row r="71" spans="2:4" ht="15.75" thickBot="1" x14ac:dyDescent="0.3">
      <c r="B71" s="204" t="s">
        <v>1</v>
      </c>
      <c r="C71" s="205"/>
      <c r="D71" s="155">
        <f>SUM(D67:D70)</f>
        <v>635.55299999999988</v>
      </c>
    </row>
    <row r="74" spans="2:4" x14ac:dyDescent="0.25">
      <c r="B74" s="206" t="s">
        <v>42</v>
      </c>
      <c r="C74" s="206"/>
      <c r="D74" s="206"/>
    </row>
    <row r="75" spans="2:4" ht="15.75" thickBot="1" x14ac:dyDescent="0.3"/>
    <row r="76" spans="2:4" ht="15.75" thickBot="1" x14ac:dyDescent="0.3">
      <c r="B76" s="111">
        <v>2</v>
      </c>
      <c r="C76" s="137" t="s">
        <v>43</v>
      </c>
      <c r="D76" s="137" t="s">
        <v>12</v>
      </c>
    </row>
    <row r="77" spans="2:4" ht="15.75" thickBot="1" x14ac:dyDescent="0.3">
      <c r="B77" s="113" t="s">
        <v>26</v>
      </c>
      <c r="C77" s="114" t="s">
        <v>254</v>
      </c>
      <c r="D77" s="117">
        <f>D47</f>
        <v>346.54569444444451</v>
      </c>
    </row>
    <row r="78" spans="2:4" ht="15.75" thickBot="1" x14ac:dyDescent="0.3">
      <c r="B78" s="113" t="s">
        <v>29</v>
      </c>
      <c r="C78" s="114" t="s">
        <v>255</v>
      </c>
      <c r="D78" s="117">
        <f>E61</f>
        <v>783.39129555555564</v>
      </c>
    </row>
    <row r="79" spans="2:4" ht="15.75" thickBot="1" x14ac:dyDescent="0.3">
      <c r="B79" s="113" t="s">
        <v>40</v>
      </c>
      <c r="C79" s="114" t="s">
        <v>256</v>
      </c>
      <c r="D79" s="115">
        <f>D71</f>
        <v>635.55299999999988</v>
      </c>
    </row>
    <row r="80" spans="2:4" ht="15.75" thickBot="1" x14ac:dyDescent="0.3">
      <c r="B80" s="204" t="s">
        <v>1</v>
      </c>
      <c r="C80" s="205"/>
      <c r="D80" s="155">
        <f>SUM(D77:D79)</f>
        <v>1765.48999</v>
      </c>
    </row>
    <row r="81" spans="2:9" x14ac:dyDescent="0.25">
      <c r="B81" s="2"/>
    </row>
    <row r="83" spans="2:9" x14ac:dyDescent="0.25">
      <c r="B83" s="203" t="s">
        <v>44</v>
      </c>
      <c r="C83" s="203"/>
      <c r="D83" s="203"/>
    </row>
    <row r="84" spans="2:9" ht="15.75" thickBot="1" x14ac:dyDescent="0.3"/>
    <row r="85" spans="2:9" ht="15.75" thickBot="1" x14ac:dyDescent="0.3">
      <c r="B85" s="111">
        <v>3</v>
      </c>
      <c r="C85" s="137" t="s">
        <v>45</v>
      </c>
      <c r="D85" s="137" t="s">
        <v>12</v>
      </c>
    </row>
    <row r="86" spans="2:9" ht="30.75" thickBot="1" x14ac:dyDescent="0.3">
      <c r="B86" s="113" t="s">
        <v>13</v>
      </c>
      <c r="C86" s="123" t="s">
        <v>326</v>
      </c>
      <c r="D86" s="124">
        <f>(D38+D47+E60)/12</f>
        <v>191.59026250000002</v>
      </c>
      <c r="E86" s="119">
        <v>5.2343130545706223E-3</v>
      </c>
    </row>
    <row r="87" spans="2:9" ht="15.75" thickBot="1" x14ac:dyDescent="0.3">
      <c r="B87" s="113" t="s">
        <v>15</v>
      </c>
      <c r="C87" s="126" t="s">
        <v>257</v>
      </c>
      <c r="D87" s="124">
        <f>D86*0.08</f>
        <v>15.327221000000002</v>
      </c>
      <c r="E87" s="119">
        <v>4.1874504436564982E-4</v>
      </c>
    </row>
    <row r="88" spans="2:9" ht="15.75" thickBot="1" x14ac:dyDescent="0.3">
      <c r="B88" s="113" t="s">
        <v>16</v>
      </c>
      <c r="C88" s="126" t="s">
        <v>258</v>
      </c>
      <c r="D88" s="124">
        <f>D87*0.5</f>
        <v>7.6636105000000008</v>
      </c>
      <c r="E88" s="119">
        <v>2.0678767622995051E-4</v>
      </c>
    </row>
    <row r="89" spans="2:9" ht="44.25" customHeight="1" thickBot="1" x14ac:dyDescent="0.3">
      <c r="B89" s="113" t="s">
        <v>18</v>
      </c>
      <c r="C89" s="123" t="s">
        <v>259</v>
      </c>
      <c r="D89" s="124">
        <f>(((D38+D47+E61)/30)*7)/12</f>
        <v>56.625566472222225</v>
      </c>
      <c r="E89" s="119">
        <v>2.1389600260035509E-2</v>
      </c>
    </row>
    <row r="90" spans="2:9" ht="15.75" thickBot="1" x14ac:dyDescent="0.3">
      <c r="B90" s="113" t="s">
        <v>19</v>
      </c>
      <c r="C90" s="126" t="s">
        <v>269</v>
      </c>
      <c r="D90" s="124">
        <f>D89*0.368</f>
        <v>20.838208461777779</v>
      </c>
      <c r="E90" s="119">
        <v>7.8713728956930663E-3</v>
      </c>
    </row>
    <row r="91" spans="2:9" ht="15.75" thickBot="1" x14ac:dyDescent="0.3">
      <c r="B91" s="113" t="s">
        <v>21</v>
      </c>
      <c r="C91" s="126" t="s">
        <v>260</v>
      </c>
      <c r="D91" s="128">
        <f>((D89*0.08))*0.5</f>
        <v>2.2650226588888889</v>
      </c>
      <c r="E91" s="119">
        <v>8.5299916444854594E-4</v>
      </c>
      <c r="G91" s="119"/>
      <c r="H91" s="119"/>
      <c r="I91" s="119"/>
    </row>
    <row r="92" spans="2:9" ht="15.75" thickBot="1" x14ac:dyDescent="0.3">
      <c r="B92" s="204" t="s">
        <v>1</v>
      </c>
      <c r="C92" s="205"/>
      <c r="D92" s="157">
        <f>SUM(D86:D91)</f>
        <v>294.3098915928889</v>
      </c>
      <c r="E92" s="119"/>
      <c r="H92" s="119"/>
      <c r="I92" s="119"/>
    </row>
    <row r="93" spans="2:9" x14ac:dyDescent="0.25">
      <c r="H93" s="119"/>
      <c r="I93" s="119"/>
    </row>
    <row r="95" spans="2:9" x14ac:dyDescent="0.25">
      <c r="B95" s="203" t="s">
        <v>46</v>
      </c>
      <c r="C95" s="203"/>
      <c r="D95" s="203"/>
    </row>
    <row r="97" spans="2:9" x14ac:dyDescent="0.25">
      <c r="H97" s="119"/>
      <c r="I97" s="119"/>
    </row>
    <row r="98" spans="2:9" x14ac:dyDescent="0.25">
      <c r="B98" s="206" t="s">
        <v>47</v>
      </c>
      <c r="C98" s="206"/>
      <c r="D98" s="206"/>
      <c r="H98" s="119"/>
    </row>
    <row r="99" spans="2:9" ht="15.75" thickBot="1" x14ac:dyDescent="0.3">
      <c r="B99" s="118"/>
    </row>
    <row r="100" spans="2:9" ht="15.75" thickBot="1" x14ac:dyDescent="0.3">
      <c r="B100" s="111" t="s">
        <v>48</v>
      </c>
      <c r="C100" s="137" t="s">
        <v>49</v>
      </c>
      <c r="D100" s="137" t="s">
        <v>12</v>
      </c>
    </row>
    <row r="101" spans="2:9" ht="15.75" thickBot="1" x14ac:dyDescent="0.3">
      <c r="B101" s="113" t="s">
        <v>13</v>
      </c>
      <c r="C101" s="114" t="s">
        <v>106</v>
      </c>
      <c r="D101" s="115"/>
    </row>
    <row r="102" spans="2:9" ht="15.75" thickBot="1" x14ac:dyDescent="0.3">
      <c r="B102" s="113" t="s">
        <v>15</v>
      </c>
      <c r="C102" s="114" t="s">
        <v>107</v>
      </c>
      <c r="D102" s="115">
        <v>93.47</v>
      </c>
      <c r="E102" s="119">
        <v>1.2446033263090147E-2</v>
      </c>
    </row>
    <row r="103" spans="2:9" ht="15.75" thickBot="1" x14ac:dyDescent="0.3">
      <c r="B103" s="113" t="s">
        <v>16</v>
      </c>
      <c r="C103" s="114" t="s">
        <v>241</v>
      </c>
      <c r="D103" s="115">
        <v>1.59</v>
      </c>
      <c r="E103" s="119">
        <v>3.1664362922711174E-4</v>
      </c>
    </row>
    <row r="104" spans="2:9" ht="15.75" thickBot="1" x14ac:dyDescent="0.3">
      <c r="B104" s="113" t="s">
        <v>18</v>
      </c>
      <c r="C104" s="114" t="s">
        <v>108</v>
      </c>
      <c r="D104" s="115">
        <v>3.42</v>
      </c>
      <c r="E104" s="119">
        <v>4.9112073104613243E-4</v>
      </c>
    </row>
    <row r="105" spans="2:9" ht="15.75" thickBot="1" x14ac:dyDescent="0.3">
      <c r="B105" s="113" t="s">
        <v>19</v>
      </c>
      <c r="C105" s="114" t="s">
        <v>109</v>
      </c>
      <c r="D105" s="115">
        <v>1.24</v>
      </c>
      <c r="E105" s="119">
        <v>1.0597868406784963E-3</v>
      </c>
    </row>
    <row r="106" spans="2:9" ht="15.75" thickBot="1" x14ac:dyDescent="0.3">
      <c r="B106" s="113" t="s">
        <v>21</v>
      </c>
      <c r="C106" s="114" t="s">
        <v>110</v>
      </c>
      <c r="D106" s="116"/>
    </row>
    <row r="107" spans="2:9" ht="15.75" thickBot="1" x14ac:dyDescent="0.3">
      <c r="B107" s="204" t="s">
        <v>38</v>
      </c>
      <c r="C107" s="205"/>
      <c r="D107" s="158">
        <f>SUM(D101:D106)</f>
        <v>99.72</v>
      </c>
    </row>
    <row r="110" spans="2:9" x14ac:dyDescent="0.25">
      <c r="B110" s="206" t="s">
        <v>112</v>
      </c>
      <c r="C110" s="206"/>
      <c r="D110" s="206"/>
    </row>
    <row r="111" spans="2:9" ht="15.75" thickBot="1" x14ac:dyDescent="0.3">
      <c r="B111" s="118"/>
    </row>
    <row r="112" spans="2:9" ht="15.75" thickBot="1" x14ac:dyDescent="0.3">
      <c r="B112" s="111" t="s">
        <v>50</v>
      </c>
      <c r="C112" s="137" t="s">
        <v>111</v>
      </c>
      <c r="D112" s="137" t="s">
        <v>12</v>
      </c>
    </row>
    <row r="113" spans="2:4" ht="15.75" thickBot="1" x14ac:dyDescent="0.3">
      <c r="B113" s="113" t="s">
        <v>13</v>
      </c>
      <c r="C113" s="114" t="s">
        <v>126</v>
      </c>
      <c r="D113" s="116"/>
    </row>
    <row r="114" spans="2:4" ht="15.75" thickBot="1" x14ac:dyDescent="0.3">
      <c r="B114" s="204" t="s">
        <v>1</v>
      </c>
      <c r="C114" s="205"/>
      <c r="D114" s="156"/>
    </row>
    <row r="117" spans="2:4" x14ac:dyDescent="0.25">
      <c r="B117" s="206" t="s">
        <v>51</v>
      </c>
      <c r="C117" s="206"/>
      <c r="D117" s="206"/>
    </row>
    <row r="118" spans="2:4" ht="15.75" thickBot="1" x14ac:dyDescent="0.3">
      <c r="B118" s="118"/>
    </row>
    <row r="119" spans="2:4" ht="15.75" thickBot="1" x14ac:dyDescent="0.3">
      <c r="B119" s="111">
        <v>4</v>
      </c>
      <c r="C119" s="137" t="s">
        <v>52</v>
      </c>
      <c r="D119" s="137" t="s">
        <v>12</v>
      </c>
    </row>
    <row r="120" spans="2:4" ht="15.75" thickBot="1" x14ac:dyDescent="0.3">
      <c r="B120" s="113" t="s">
        <v>48</v>
      </c>
      <c r="C120" s="114" t="s">
        <v>261</v>
      </c>
      <c r="D120" s="115">
        <f>D107</f>
        <v>99.72</v>
      </c>
    </row>
    <row r="121" spans="2:4" ht="15.75" thickBot="1" x14ac:dyDescent="0.3">
      <c r="B121" s="113" t="s">
        <v>50</v>
      </c>
      <c r="C121" s="130"/>
      <c r="D121" s="131">
        <f>D114</f>
        <v>0</v>
      </c>
    </row>
    <row r="122" spans="2:4" ht="15.75" thickBot="1" x14ac:dyDescent="0.3">
      <c r="B122" s="204" t="s">
        <v>1</v>
      </c>
      <c r="C122" s="205"/>
      <c r="D122" s="158">
        <f>SUM(D120:D121)</f>
        <v>99.72</v>
      </c>
    </row>
    <row r="125" spans="2:4" x14ac:dyDescent="0.25">
      <c r="B125" s="203" t="s">
        <v>53</v>
      </c>
      <c r="C125" s="203"/>
      <c r="D125" s="203"/>
    </row>
    <row r="126" spans="2:4" ht="15.75" thickBot="1" x14ac:dyDescent="0.3"/>
    <row r="127" spans="2:4" ht="15.75" thickBot="1" x14ac:dyDescent="0.3">
      <c r="B127" s="195">
        <v>5</v>
      </c>
      <c r="C127" s="196" t="s">
        <v>5</v>
      </c>
      <c r="D127" s="197" t="s">
        <v>12</v>
      </c>
    </row>
    <row r="128" spans="2:4" ht="15.75" thickBot="1" x14ac:dyDescent="0.3">
      <c r="B128" s="198" t="s">
        <v>13</v>
      </c>
      <c r="C128" s="199" t="s">
        <v>54</v>
      </c>
      <c r="D128" s="200">
        <f>Uniformes!H15</f>
        <v>70.569444444444443</v>
      </c>
    </row>
    <row r="129" spans="2:5" ht="15.75" thickBot="1" x14ac:dyDescent="0.3">
      <c r="B129" s="198" t="s">
        <v>15</v>
      </c>
      <c r="C129" s="199" t="s">
        <v>144</v>
      </c>
      <c r="D129" s="200">
        <f>'Material de uso individual'!H10</f>
        <v>37.958333333333336</v>
      </c>
    </row>
    <row r="130" spans="2:5" ht="15.75" thickBot="1" x14ac:dyDescent="0.3">
      <c r="B130" s="198" t="s">
        <v>16</v>
      </c>
      <c r="C130" s="199" t="s">
        <v>145</v>
      </c>
      <c r="D130" s="200">
        <f>'Masterial de uso coletivo'!H7</f>
        <v>10</v>
      </c>
    </row>
    <row r="131" spans="2:5" ht="15.75" thickBot="1" x14ac:dyDescent="0.3">
      <c r="B131" s="198" t="s">
        <v>18</v>
      </c>
      <c r="C131" s="199" t="s">
        <v>146</v>
      </c>
      <c r="D131" s="200">
        <f>'Equipamentos-Depreciação'!O23</f>
        <v>672.16584455391342</v>
      </c>
    </row>
    <row r="132" spans="2:5" ht="15.75" thickBot="1" x14ac:dyDescent="0.3">
      <c r="B132" s="204" t="s">
        <v>38</v>
      </c>
      <c r="C132" s="205"/>
      <c r="D132" s="155">
        <f>SUM(D128:D131)</f>
        <v>790.69362233169113</v>
      </c>
    </row>
    <row r="135" spans="2:5" x14ac:dyDescent="0.25">
      <c r="B135" s="203" t="s">
        <v>55</v>
      </c>
      <c r="C135" s="203"/>
      <c r="D135" s="203"/>
    </row>
    <row r="136" spans="2:5" ht="15.75" thickBot="1" x14ac:dyDescent="0.3"/>
    <row r="137" spans="2:5" ht="15.75" thickBot="1" x14ac:dyDescent="0.3">
      <c r="B137" s="111">
        <v>6</v>
      </c>
      <c r="C137" s="132" t="s">
        <v>6</v>
      </c>
      <c r="D137" s="137" t="s">
        <v>31</v>
      </c>
      <c r="E137" s="137" t="s">
        <v>12</v>
      </c>
    </row>
    <row r="138" spans="2:5" ht="15.75" thickBot="1" x14ac:dyDescent="0.3">
      <c r="B138" s="113" t="s">
        <v>13</v>
      </c>
      <c r="C138" s="114" t="s">
        <v>7</v>
      </c>
      <c r="D138" s="133">
        <v>0.06</v>
      </c>
      <c r="E138" s="115">
        <f>(D132+D122+D92+D80+D38)*D138</f>
        <v>283.94691023547477</v>
      </c>
    </row>
    <row r="139" spans="2:5" ht="15.75" thickBot="1" x14ac:dyDescent="0.3">
      <c r="B139" s="113" t="s">
        <v>15</v>
      </c>
      <c r="C139" s="114" t="s">
        <v>9</v>
      </c>
      <c r="D139" s="133">
        <v>6.7900000000000002E-2</v>
      </c>
      <c r="E139" s="115">
        <f>(D132+D122+D92+D80+D38+E138)*D139</f>
        <v>340.61324862146773</v>
      </c>
    </row>
    <row r="140" spans="2:5" ht="15.75" thickBot="1" x14ac:dyDescent="0.3">
      <c r="B140" s="113" t="s">
        <v>16</v>
      </c>
      <c r="C140" s="114" t="s">
        <v>8</v>
      </c>
      <c r="D140" s="133"/>
      <c r="E140" s="116"/>
    </row>
    <row r="141" spans="2:5" ht="15.75" thickBot="1" x14ac:dyDescent="0.3">
      <c r="B141" s="113"/>
      <c r="C141" s="114" t="s">
        <v>56</v>
      </c>
      <c r="D141" s="133"/>
      <c r="E141" s="117">
        <f>D157*0.0365</f>
        <v>214.04577579805755</v>
      </c>
    </row>
    <row r="142" spans="2:5" ht="15.75" thickBot="1" x14ac:dyDescent="0.3">
      <c r="B142" s="113"/>
      <c r="C142" s="114" t="s">
        <v>57</v>
      </c>
      <c r="D142" s="133"/>
      <c r="E142" s="115"/>
    </row>
    <row r="143" spans="2:5" ht="15.75" thickBot="1" x14ac:dyDescent="0.3">
      <c r="B143" s="113"/>
      <c r="C143" s="114" t="s">
        <v>58</v>
      </c>
      <c r="D143" s="133"/>
      <c r="E143" s="115">
        <f>D157*0.05</f>
        <v>293.21339150418845</v>
      </c>
    </row>
    <row r="144" spans="2:5" ht="15.75" thickBot="1" x14ac:dyDescent="0.3">
      <c r="B144" s="204" t="s">
        <v>38</v>
      </c>
      <c r="C144" s="205"/>
      <c r="D144" s="192"/>
      <c r="E144" s="155">
        <f>SUM(E138:E143)</f>
        <v>1131.8193261591884</v>
      </c>
    </row>
    <row r="147" spans="2:4" x14ac:dyDescent="0.25">
      <c r="B147" s="203" t="s">
        <v>59</v>
      </c>
      <c r="C147" s="203"/>
      <c r="D147" s="203"/>
    </row>
    <row r="148" spans="2:4" ht="15.75" thickBot="1" x14ac:dyDescent="0.3"/>
    <row r="149" spans="2:4" ht="15.75" thickBot="1" x14ac:dyDescent="0.3">
      <c r="B149" s="111"/>
      <c r="C149" s="137" t="s">
        <v>60</v>
      </c>
      <c r="D149" s="137" t="s">
        <v>12</v>
      </c>
    </row>
    <row r="150" spans="2:4" ht="15.75" thickBot="1" x14ac:dyDescent="0.3">
      <c r="B150" s="134" t="s">
        <v>13</v>
      </c>
      <c r="C150" s="114" t="s">
        <v>10</v>
      </c>
      <c r="D150" s="135">
        <f>D38</f>
        <v>1782.2350000000001</v>
      </c>
    </row>
    <row r="151" spans="2:4" ht="15.75" thickBot="1" x14ac:dyDescent="0.3">
      <c r="B151" s="134" t="s">
        <v>15</v>
      </c>
      <c r="C151" s="114" t="s">
        <v>24</v>
      </c>
      <c r="D151" s="135">
        <f>D80</f>
        <v>1765.48999</v>
      </c>
    </row>
    <row r="152" spans="2:4" ht="15.75" thickBot="1" x14ac:dyDescent="0.3">
      <c r="B152" s="134" t="s">
        <v>16</v>
      </c>
      <c r="C152" s="114" t="s">
        <v>44</v>
      </c>
      <c r="D152" s="135">
        <f>D92</f>
        <v>294.3098915928889</v>
      </c>
    </row>
    <row r="153" spans="2:4" ht="15.75" thickBot="1" x14ac:dyDescent="0.3">
      <c r="B153" s="134" t="s">
        <v>18</v>
      </c>
      <c r="C153" s="114" t="s">
        <v>46</v>
      </c>
      <c r="D153" s="135">
        <f>D122</f>
        <v>99.72</v>
      </c>
    </row>
    <row r="154" spans="2:4" ht="15.75" thickBot="1" x14ac:dyDescent="0.3">
      <c r="B154" s="134" t="s">
        <v>19</v>
      </c>
      <c r="C154" s="114" t="s">
        <v>53</v>
      </c>
      <c r="D154" s="135">
        <f>D132</f>
        <v>790.69362233169113</v>
      </c>
    </row>
    <row r="155" spans="2:4" ht="15.75" thickBot="1" x14ac:dyDescent="0.3">
      <c r="B155" s="225" t="s">
        <v>61</v>
      </c>
      <c r="C155" s="226"/>
      <c r="D155" s="135">
        <f>SUM(D150:D154)</f>
        <v>4732.4485039245801</v>
      </c>
    </row>
    <row r="156" spans="2:4" ht="15.75" thickBot="1" x14ac:dyDescent="0.3">
      <c r="B156" s="134" t="s">
        <v>21</v>
      </c>
      <c r="C156" s="114" t="s">
        <v>62</v>
      </c>
      <c r="D156" s="135">
        <f>E144</f>
        <v>1131.8193261591884</v>
      </c>
    </row>
    <row r="157" spans="2:4" ht="15.75" thickBot="1" x14ac:dyDescent="0.3">
      <c r="B157" s="204" t="s">
        <v>63</v>
      </c>
      <c r="C157" s="205"/>
      <c r="D157" s="185">
        <f>((D155+E138+E139))/0.9135</f>
        <v>5864.2678300837688</v>
      </c>
    </row>
    <row r="158" spans="2:4" ht="15.75" thickBot="1" x14ac:dyDescent="0.3">
      <c r="C158" s="164" t="s">
        <v>114</v>
      </c>
      <c r="D158" s="165">
        <f>D157*1</f>
        <v>5864.2678300837688</v>
      </c>
    </row>
    <row r="161" spans="2:4" x14ac:dyDescent="0.25">
      <c r="B161" s="203" t="s">
        <v>317</v>
      </c>
      <c r="C161" s="203"/>
      <c r="D161" s="203"/>
    </row>
    <row r="162" spans="2:4" ht="15.75" thickBot="1" x14ac:dyDescent="0.3"/>
    <row r="163" spans="2:4" ht="15.75" thickBot="1" x14ac:dyDescent="0.3">
      <c r="B163" s="190"/>
      <c r="C163" s="191" t="s">
        <v>318</v>
      </c>
      <c r="D163" s="188" t="s">
        <v>12</v>
      </c>
    </row>
    <row r="164" spans="2:4" ht="15.75" thickBot="1" x14ac:dyDescent="0.3">
      <c r="B164" s="184" t="s">
        <v>13</v>
      </c>
      <c r="C164" s="186" t="s">
        <v>319</v>
      </c>
      <c r="D164" s="185">
        <f>D158</f>
        <v>5864.2678300837688</v>
      </c>
    </row>
    <row r="165" spans="2:4" ht="15.75" thickBot="1" x14ac:dyDescent="0.3">
      <c r="B165" s="184" t="s">
        <v>15</v>
      </c>
      <c r="C165" s="186" t="s">
        <v>320</v>
      </c>
      <c r="D165" s="185">
        <f>D164*D18</f>
        <v>5864.2678300837688</v>
      </c>
    </row>
    <row r="166" spans="2:4" ht="15.75" thickBot="1" x14ac:dyDescent="0.3">
      <c r="B166" s="184" t="s">
        <v>16</v>
      </c>
      <c r="C166" s="186" t="s">
        <v>321</v>
      </c>
      <c r="D166" s="185">
        <f>D165*12</f>
        <v>70371.213961005225</v>
      </c>
    </row>
  </sheetData>
  <mergeCells count="38">
    <mergeCell ref="B40:D40"/>
    <mergeCell ref="B1:E1"/>
    <mergeCell ref="B2:E2"/>
    <mergeCell ref="B4:E4"/>
    <mergeCell ref="B28:D28"/>
    <mergeCell ref="B38:C38"/>
    <mergeCell ref="B3:E3"/>
    <mergeCell ref="B6:D6"/>
    <mergeCell ref="B7:D7"/>
    <mergeCell ref="B8:D8"/>
    <mergeCell ref="B9:D9"/>
    <mergeCell ref="B16:D16"/>
    <mergeCell ref="B20:D20"/>
    <mergeCell ref="B98:D98"/>
    <mergeCell ref="B42:D42"/>
    <mergeCell ref="B47:C47"/>
    <mergeCell ref="B50:E50"/>
    <mergeCell ref="B61:C61"/>
    <mergeCell ref="B64:D64"/>
    <mergeCell ref="B71:C71"/>
    <mergeCell ref="B74:D74"/>
    <mergeCell ref="B80:C80"/>
    <mergeCell ref="B83:D83"/>
    <mergeCell ref="B92:C92"/>
    <mergeCell ref="B95:D95"/>
    <mergeCell ref="B161:D161"/>
    <mergeCell ref="B157:C157"/>
    <mergeCell ref="B107:C107"/>
    <mergeCell ref="B110:D110"/>
    <mergeCell ref="B114:C114"/>
    <mergeCell ref="B117:D117"/>
    <mergeCell ref="B122:C122"/>
    <mergeCell ref="B125:D125"/>
    <mergeCell ref="B132:C132"/>
    <mergeCell ref="B135:D135"/>
    <mergeCell ref="B144:C144"/>
    <mergeCell ref="B147:D147"/>
    <mergeCell ref="B155:C155"/>
  </mergeCells>
  <pageMargins left="0.511811024" right="0.511811024" top="0.78740157499999996" bottom="0.78740157499999996" header="0.31496062000000002" footer="0.31496062000000002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66"/>
  <sheetViews>
    <sheetView showGridLines="0" topLeftCell="A130" zoomScaleNormal="100" workbookViewId="0">
      <selection activeCell="B9" sqref="B9:E166"/>
    </sheetView>
  </sheetViews>
  <sheetFormatPr defaultRowHeight="15" x14ac:dyDescent="0.25"/>
  <cols>
    <col min="1" max="1" width="4.42578125" style="93" customWidth="1"/>
    <col min="2" max="2" width="11.140625" style="93" customWidth="1"/>
    <col min="3" max="3" width="97.28515625" style="93" customWidth="1"/>
    <col min="4" max="4" width="26.140625" style="93" customWidth="1"/>
    <col min="5" max="5" width="14.28515625" style="93" customWidth="1"/>
    <col min="6" max="6" width="12.7109375" style="93" customWidth="1"/>
    <col min="7" max="7" width="12" style="93" customWidth="1"/>
    <col min="8" max="8" width="15.140625" style="93" customWidth="1"/>
    <col min="9" max="9" width="10.7109375" style="93" bestFit="1" customWidth="1"/>
    <col min="10" max="16384" width="9.140625" style="93"/>
  </cols>
  <sheetData>
    <row r="1" spans="2:5" s="41" customFormat="1" x14ac:dyDescent="0.25">
      <c r="B1" s="210" t="s">
        <v>64</v>
      </c>
      <c r="C1" s="210"/>
      <c r="D1" s="210"/>
      <c r="E1" s="210"/>
    </row>
    <row r="2" spans="2:5" s="41" customFormat="1" x14ac:dyDescent="0.25">
      <c r="B2" s="210" t="s">
        <v>65</v>
      </c>
      <c r="C2" s="210"/>
      <c r="D2" s="210"/>
      <c r="E2" s="210"/>
    </row>
    <row r="3" spans="2:5" s="41" customFormat="1" x14ac:dyDescent="0.25">
      <c r="B3" s="210" t="s">
        <v>286</v>
      </c>
      <c r="C3" s="210"/>
      <c r="D3" s="210"/>
      <c r="E3" s="210"/>
    </row>
    <row r="4" spans="2:5" x14ac:dyDescent="0.25">
      <c r="B4" s="211" t="s">
        <v>66</v>
      </c>
      <c r="C4" s="211"/>
      <c r="D4" s="211"/>
      <c r="E4" s="211"/>
    </row>
    <row r="5" spans="2:5" ht="15.75" thickBot="1" x14ac:dyDescent="0.3">
      <c r="B5" s="138"/>
      <c r="C5" s="138"/>
      <c r="D5" s="138"/>
      <c r="E5" s="138"/>
    </row>
    <row r="6" spans="2:5" s="136" customFormat="1" x14ac:dyDescent="0.25">
      <c r="B6" s="216" t="s">
        <v>288</v>
      </c>
      <c r="C6" s="217"/>
      <c r="D6" s="218"/>
    </row>
    <row r="7" spans="2:5" s="136" customFormat="1" x14ac:dyDescent="0.25">
      <c r="B7" s="219" t="s">
        <v>289</v>
      </c>
      <c r="C7" s="220"/>
      <c r="D7" s="221"/>
    </row>
    <row r="8" spans="2:5" s="136" customFormat="1" ht="15.75" thickBot="1" x14ac:dyDescent="0.3">
      <c r="B8" s="222" t="s">
        <v>290</v>
      </c>
      <c r="C8" s="223"/>
      <c r="D8" s="224"/>
    </row>
    <row r="9" spans="2:5" ht="15.75" thickBot="1" x14ac:dyDescent="0.3">
      <c r="B9" s="213" t="s">
        <v>287</v>
      </c>
      <c r="C9" s="214" t="s">
        <v>11</v>
      </c>
      <c r="D9" s="215" t="s">
        <v>12</v>
      </c>
    </row>
    <row r="10" spans="2:5" ht="15.75" thickBot="1" x14ac:dyDescent="0.3">
      <c r="B10" s="113" t="s">
        <v>13</v>
      </c>
      <c r="C10" s="114" t="s">
        <v>291</v>
      </c>
      <c r="D10" s="139" t="s">
        <v>309</v>
      </c>
    </row>
    <row r="11" spans="2:5" ht="15.75" thickBot="1" x14ac:dyDescent="0.3">
      <c r="B11" s="113" t="s">
        <v>15</v>
      </c>
      <c r="C11" s="114" t="s">
        <v>292</v>
      </c>
      <c r="D11" s="115" t="s">
        <v>310</v>
      </c>
    </row>
    <row r="12" spans="2:5" ht="15.75" thickBot="1" x14ac:dyDescent="0.3">
      <c r="B12" s="113" t="s">
        <v>16</v>
      </c>
      <c r="C12" s="114" t="s">
        <v>294</v>
      </c>
      <c r="D12" s="115" t="s">
        <v>311</v>
      </c>
    </row>
    <row r="13" spans="2:5" ht="15.75" thickBot="1" x14ac:dyDescent="0.3">
      <c r="B13" s="113" t="s">
        <v>18</v>
      </c>
      <c r="C13" s="114" t="s">
        <v>312</v>
      </c>
      <c r="D13" s="140">
        <v>43537</v>
      </c>
    </row>
    <row r="14" spans="2:5" ht="15.75" thickBot="1" x14ac:dyDescent="0.3">
      <c r="B14" s="144" t="s">
        <v>19</v>
      </c>
      <c r="C14" s="146" t="s">
        <v>293</v>
      </c>
      <c r="D14" s="145">
        <v>12</v>
      </c>
    </row>
    <row r="15" spans="2:5" ht="15.75" thickBot="1" x14ac:dyDescent="0.3">
      <c r="B15" s="138"/>
      <c r="C15" s="110"/>
      <c r="D15" s="138"/>
      <c r="E15" s="138"/>
    </row>
    <row r="16" spans="2:5" ht="15.75" thickBot="1" x14ac:dyDescent="0.3">
      <c r="B16" s="213" t="s">
        <v>295</v>
      </c>
      <c r="C16" s="214" t="s">
        <v>11</v>
      </c>
      <c r="D16" s="215" t="s">
        <v>12</v>
      </c>
    </row>
    <row r="17" spans="2:5" ht="35.25" customHeight="1" thickBot="1" x14ac:dyDescent="0.3">
      <c r="B17" s="134" t="s">
        <v>296</v>
      </c>
      <c r="C17" s="143" t="s">
        <v>299</v>
      </c>
      <c r="D17" s="142" t="s">
        <v>314</v>
      </c>
    </row>
    <row r="18" spans="2:5" ht="30.75" thickBot="1" x14ac:dyDescent="0.3">
      <c r="B18" s="134" t="s">
        <v>298</v>
      </c>
      <c r="C18" s="143" t="s">
        <v>297</v>
      </c>
      <c r="D18" s="141">
        <v>5</v>
      </c>
    </row>
    <row r="19" spans="2:5" ht="15.75" thickBot="1" x14ac:dyDescent="0.3">
      <c r="B19" s="138"/>
      <c r="C19" s="110"/>
      <c r="D19" s="138"/>
      <c r="E19" s="138"/>
    </row>
    <row r="20" spans="2:5" ht="15.75" thickBot="1" x14ac:dyDescent="0.3">
      <c r="B20" s="213" t="s">
        <v>300</v>
      </c>
      <c r="C20" s="214" t="s">
        <v>11</v>
      </c>
      <c r="D20" s="215" t="s">
        <v>12</v>
      </c>
    </row>
    <row r="21" spans="2:5" ht="30.75" thickBot="1" x14ac:dyDescent="0.3">
      <c r="B21" s="147">
        <v>1</v>
      </c>
      <c r="C21" s="146" t="s">
        <v>301</v>
      </c>
      <c r="D21" s="148" t="s">
        <v>324</v>
      </c>
    </row>
    <row r="22" spans="2:5" ht="15.75" thickBot="1" x14ac:dyDescent="0.3">
      <c r="B22" s="149">
        <v>2</v>
      </c>
      <c r="C22" s="150" t="s">
        <v>303</v>
      </c>
      <c r="D22" s="151" t="s">
        <v>307</v>
      </c>
    </row>
    <row r="23" spans="2:5" ht="15.75" thickBot="1" x14ac:dyDescent="0.3">
      <c r="B23" s="147">
        <v>3</v>
      </c>
      <c r="C23" s="146" t="s">
        <v>304</v>
      </c>
      <c r="D23" s="152">
        <v>1246.32</v>
      </c>
    </row>
    <row r="24" spans="2:5" ht="17.25" customHeight="1" thickBot="1" x14ac:dyDescent="0.3">
      <c r="B24" s="149">
        <v>4</v>
      </c>
      <c r="C24" s="150" t="s">
        <v>305</v>
      </c>
      <c r="D24" s="153" t="s">
        <v>308</v>
      </c>
    </row>
    <row r="25" spans="2:5" ht="18.75" customHeight="1" thickBot="1" x14ac:dyDescent="0.3">
      <c r="B25" s="147">
        <v>5</v>
      </c>
      <c r="C25" s="146" t="s">
        <v>306</v>
      </c>
      <c r="D25" s="154" t="s">
        <v>313</v>
      </c>
    </row>
    <row r="26" spans="2:5" x14ac:dyDescent="0.25">
      <c r="B26" s="138"/>
      <c r="C26" s="138"/>
      <c r="D26" s="138"/>
      <c r="E26" s="138"/>
    </row>
    <row r="28" spans="2:5" x14ac:dyDescent="0.25">
      <c r="B28" s="212" t="s">
        <v>10</v>
      </c>
      <c r="C28" s="212"/>
      <c r="D28" s="212"/>
    </row>
    <row r="29" spans="2:5" ht="15.75" thickBot="1" x14ac:dyDescent="0.3"/>
    <row r="30" spans="2:5" ht="15.75" thickBot="1" x14ac:dyDescent="0.3">
      <c r="B30" s="111">
        <v>1</v>
      </c>
      <c r="C30" s="137" t="s">
        <v>11</v>
      </c>
      <c r="D30" s="137" t="s">
        <v>12</v>
      </c>
    </row>
    <row r="31" spans="2:5" ht="15.75" thickBot="1" x14ac:dyDescent="0.3">
      <c r="B31" s="113" t="s">
        <v>13</v>
      </c>
      <c r="C31" s="114" t="s">
        <v>14</v>
      </c>
      <c r="D31" s="115">
        <v>1246.32</v>
      </c>
    </row>
    <row r="32" spans="2:5" ht="15.75" thickBot="1" x14ac:dyDescent="0.3">
      <c r="B32" s="113" t="s">
        <v>15</v>
      </c>
      <c r="C32" s="114" t="s">
        <v>205</v>
      </c>
      <c r="D32" s="115">
        <f>D31*0.3</f>
        <v>373.89599999999996</v>
      </c>
    </row>
    <row r="33" spans="2:4" ht="15.75" thickBot="1" x14ac:dyDescent="0.3">
      <c r="B33" s="113" t="s">
        <v>16</v>
      </c>
      <c r="C33" s="114" t="s">
        <v>17</v>
      </c>
      <c r="D33" s="116"/>
    </row>
    <row r="34" spans="2:4" ht="15.75" thickBot="1" x14ac:dyDescent="0.3">
      <c r="B34" s="113" t="s">
        <v>18</v>
      </c>
      <c r="C34" s="114" t="s">
        <v>209</v>
      </c>
      <c r="D34" s="170">
        <v>202.56</v>
      </c>
    </row>
    <row r="35" spans="2:4" ht="15.75" thickBot="1" x14ac:dyDescent="0.3">
      <c r="B35" s="113" t="s">
        <v>19</v>
      </c>
      <c r="C35" s="114" t="s">
        <v>210</v>
      </c>
      <c r="D35" s="170">
        <v>213.6</v>
      </c>
    </row>
    <row r="36" spans="2:4" ht="15.75" thickBot="1" x14ac:dyDescent="0.3">
      <c r="B36" s="113" t="s">
        <v>21</v>
      </c>
      <c r="C36" s="114" t="s">
        <v>23</v>
      </c>
      <c r="D36" s="116"/>
    </row>
    <row r="37" spans="2:4" ht="15.75" thickBot="1" x14ac:dyDescent="0.3">
      <c r="B37" s="113"/>
      <c r="C37" s="114"/>
      <c r="D37" s="116"/>
    </row>
    <row r="38" spans="2:4" ht="15.75" thickBot="1" x14ac:dyDescent="0.3">
      <c r="B38" s="204" t="s">
        <v>1</v>
      </c>
      <c r="C38" s="205"/>
      <c r="D38" s="155">
        <f>SUM(D31:D37)</f>
        <v>2036.3759999999997</v>
      </c>
    </row>
    <row r="40" spans="2:4" x14ac:dyDescent="0.25">
      <c r="B40" s="203" t="s">
        <v>24</v>
      </c>
      <c r="C40" s="203"/>
      <c r="D40" s="203"/>
    </row>
    <row r="41" spans="2:4" x14ac:dyDescent="0.25">
      <c r="B41" s="118"/>
    </row>
    <row r="42" spans="2:4" x14ac:dyDescent="0.25">
      <c r="B42" s="206" t="s">
        <v>25</v>
      </c>
      <c r="C42" s="206"/>
      <c r="D42" s="206"/>
    </row>
    <row r="43" spans="2:4" ht="15.75" thickBot="1" x14ac:dyDescent="0.3"/>
    <row r="44" spans="2:4" ht="15.75" thickBot="1" x14ac:dyDescent="0.3">
      <c r="B44" s="111" t="s">
        <v>26</v>
      </c>
      <c r="C44" s="137" t="s">
        <v>27</v>
      </c>
      <c r="D44" s="137" t="s">
        <v>12</v>
      </c>
    </row>
    <row r="45" spans="2:4" ht="15.75" thickBot="1" x14ac:dyDescent="0.3">
      <c r="B45" s="113" t="s">
        <v>13</v>
      </c>
      <c r="C45" s="114" t="s">
        <v>266</v>
      </c>
      <c r="D45" s="115">
        <f>D38/12</f>
        <v>169.69799999999998</v>
      </c>
    </row>
    <row r="46" spans="2:4" ht="15.75" thickBot="1" x14ac:dyDescent="0.3">
      <c r="B46" s="113" t="s">
        <v>15</v>
      </c>
      <c r="C46" s="114" t="s">
        <v>270</v>
      </c>
      <c r="D46" s="117">
        <f>((D38/3)/12+D45)</f>
        <v>226.26399999999998</v>
      </c>
    </row>
    <row r="47" spans="2:4" ht="15.75" thickBot="1" x14ac:dyDescent="0.3">
      <c r="B47" s="204" t="s">
        <v>1</v>
      </c>
      <c r="C47" s="205"/>
      <c r="D47" s="155">
        <f>SUM(D45:D46)</f>
        <v>395.96199999999999</v>
      </c>
    </row>
    <row r="50" spans="2:5" ht="32.25" customHeight="1" x14ac:dyDescent="0.25">
      <c r="B50" s="209" t="s">
        <v>28</v>
      </c>
      <c r="C50" s="209"/>
      <c r="D50" s="209"/>
      <c r="E50" s="209"/>
    </row>
    <row r="51" spans="2:5" ht="15.75" thickBot="1" x14ac:dyDescent="0.3"/>
    <row r="52" spans="2:5" ht="15.75" thickBot="1" x14ac:dyDescent="0.3">
      <c r="B52" s="111" t="s">
        <v>29</v>
      </c>
      <c r="C52" s="137" t="s">
        <v>30</v>
      </c>
      <c r="D52" s="137" t="s">
        <v>31</v>
      </c>
      <c r="E52" s="137" t="s">
        <v>12</v>
      </c>
    </row>
    <row r="53" spans="2:5" ht="15.75" thickBot="1" x14ac:dyDescent="0.3">
      <c r="B53" s="113" t="s">
        <v>13</v>
      </c>
      <c r="C53" s="114" t="s">
        <v>32</v>
      </c>
      <c r="D53" s="120">
        <v>0.2</v>
      </c>
      <c r="E53" s="115">
        <f>($D$38+$D$47)*D53</f>
        <v>486.46759999999995</v>
      </c>
    </row>
    <row r="54" spans="2:5" ht="15.75" thickBot="1" x14ac:dyDescent="0.3">
      <c r="B54" s="113" t="s">
        <v>15</v>
      </c>
      <c r="C54" s="114" t="s">
        <v>33</v>
      </c>
      <c r="D54" s="120">
        <v>2.5000000000000001E-2</v>
      </c>
      <c r="E54" s="115">
        <f t="shared" ref="E54" si="0">($D$38+$D$47)*D54</f>
        <v>60.808449999999993</v>
      </c>
    </row>
    <row r="55" spans="2:5" ht="15.75" thickBot="1" x14ac:dyDescent="0.3">
      <c r="B55" s="113" t="s">
        <v>16</v>
      </c>
      <c r="C55" s="114" t="s">
        <v>34</v>
      </c>
      <c r="D55" s="121">
        <v>0.03</v>
      </c>
      <c r="E55" s="115">
        <f t="shared" ref="E55:E60" si="1">($D$38+$D$47)*D55</f>
        <v>72.970139999999986</v>
      </c>
    </row>
    <row r="56" spans="2:5" ht="15.75" thickBot="1" x14ac:dyDescent="0.3">
      <c r="B56" s="113" t="s">
        <v>18</v>
      </c>
      <c r="C56" s="114" t="s">
        <v>35</v>
      </c>
      <c r="D56" s="120">
        <v>1.4999999999999999E-2</v>
      </c>
      <c r="E56" s="115">
        <f t="shared" si="1"/>
        <v>36.485069999999993</v>
      </c>
    </row>
    <row r="57" spans="2:5" ht="15.75" thickBot="1" x14ac:dyDescent="0.3">
      <c r="B57" s="113" t="s">
        <v>19</v>
      </c>
      <c r="C57" s="114" t="s">
        <v>36</v>
      </c>
      <c r="D57" s="120">
        <v>0.01</v>
      </c>
      <c r="E57" s="115">
        <f t="shared" si="1"/>
        <v>24.323379999999997</v>
      </c>
    </row>
    <row r="58" spans="2:5" ht="15.75" thickBot="1" x14ac:dyDescent="0.3">
      <c r="B58" s="113" t="s">
        <v>21</v>
      </c>
      <c r="C58" s="114" t="s">
        <v>2</v>
      </c>
      <c r="D58" s="120">
        <v>6.0000000000000001E-3</v>
      </c>
      <c r="E58" s="115">
        <f t="shared" si="1"/>
        <v>14.594027999999998</v>
      </c>
    </row>
    <row r="59" spans="2:5" ht="15.75" thickBot="1" x14ac:dyDescent="0.3">
      <c r="B59" s="113" t="s">
        <v>22</v>
      </c>
      <c r="C59" s="114" t="s">
        <v>3</v>
      </c>
      <c r="D59" s="120">
        <v>2E-3</v>
      </c>
      <c r="E59" s="115">
        <f t="shared" si="1"/>
        <v>4.8646759999999993</v>
      </c>
    </row>
    <row r="60" spans="2:5" ht="15.75" thickBot="1" x14ac:dyDescent="0.3">
      <c r="B60" s="113" t="s">
        <v>37</v>
      </c>
      <c r="C60" s="114" t="s">
        <v>4</v>
      </c>
      <c r="D60" s="120">
        <v>0.08</v>
      </c>
      <c r="E60" s="115">
        <f t="shared" si="1"/>
        <v>194.58703999999997</v>
      </c>
    </row>
    <row r="61" spans="2:5" ht="15.75" thickBot="1" x14ac:dyDescent="0.3">
      <c r="B61" s="204" t="s">
        <v>38</v>
      </c>
      <c r="C61" s="205"/>
      <c r="D61" s="192">
        <f>SUM(D53:D60)</f>
        <v>0.36800000000000005</v>
      </c>
      <c r="E61" s="155">
        <f>SUM(E53:E60)</f>
        <v>895.10038399999996</v>
      </c>
    </row>
    <row r="64" spans="2:5" x14ac:dyDescent="0.25">
      <c r="B64" s="206" t="s">
        <v>39</v>
      </c>
      <c r="C64" s="206"/>
      <c r="D64" s="206"/>
    </row>
    <row r="65" spans="2:4" ht="15.75" thickBot="1" x14ac:dyDescent="0.3"/>
    <row r="66" spans="2:4" ht="15.75" thickBot="1" x14ac:dyDescent="0.3">
      <c r="B66" s="111" t="s">
        <v>40</v>
      </c>
      <c r="C66" s="137" t="s">
        <v>41</v>
      </c>
      <c r="D66" s="137" t="s">
        <v>12</v>
      </c>
    </row>
    <row r="67" spans="2:4" ht="15.75" thickBot="1" x14ac:dyDescent="0.3">
      <c r="B67" s="113" t="s">
        <v>13</v>
      </c>
      <c r="C67" s="114" t="s">
        <v>271</v>
      </c>
      <c r="D67" s="117">
        <f>(30*3.8)-(D31*0.03)</f>
        <v>76.610399999999998</v>
      </c>
    </row>
    <row r="68" spans="2:4" ht="15.75" thickBot="1" x14ac:dyDescent="0.3">
      <c r="B68" s="113" t="s">
        <v>15</v>
      </c>
      <c r="C68" s="114" t="s">
        <v>211</v>
      </c>
      <c r="D68" s="115">
        <f>(22*15)-(330*0.05)</f>
        <v>313.5</v>
      </c>
    </row>
    <row r="69" spans="2:4" ht="15.75" thickBot="1" x14ac:dyDescent="0.3">
      <c r="B69" s="113" t="s">
        <v>16</v>
      </c>
      <c r="C69" s="114" t="s">
        <v>212</v>
      </c>
      <c r="D69" s="115">
        <v>90.81</v>
      </c>
    </row>
    <row r="70" spans="2:4" ht="15.75" thickBot="1" x14ac:dyDescent="0.3">
      <c r="B70" s="113" t="s">
        <v>18</v>
      </c>
      <c r="C70" s="114" t="s">
        <v>23</v>
      </c>
      <c r="D70" s="116"/>
    </row>
    <row r="71" spans="2:4" ht="15.75" thickBot="1" x14ac:dyDescent="0.3">
      <c r="B71" s="204" t="s">
        <v>1</v>
      </c>
      <c r="C71" s="205"/>
      <c r="D71" s="155">
        <f>SUM(D67:D70)</f>
        <v>480.92040000000003</v>
      </c>
    </row>
    <row r="74" spans="2:4" x14ac:dyDescent="0.25">
      <c r="B74" s="206" t="s">
        <v>42</v>
      </c>
      <c r="C74" s="206"/>
      <c r="D74" s="206"/>
    </row>
    <row r="75" spans="2:4" ht="15.75" thickBot="1" x14ac:dyDescent="0.3"/>
    <row r="76" spans="2:4" ht="15.75" thickBot="1" x14ac:dyDescent="0.3">
      <c r="B76" s="111">
        <v>2</v>
      </c>
      <c r="C76" s="137" t="s">
        <v>43</v>
      </c>
      <c r="D76" s="137" t="s">
        <v>12</v>
      </c>
    </row>
    <row r="77" spans="2:4" ht="15.75" thickBot="1" x14ac:dyDescent="0.3">
      <c r="B77" s="113" t="s">
        <v>26</v>
      </c>
      <c r="C77" s="114" t="s">
        <v>254</v>
      </c>
      <c r="D77" s="117">
        <f>D47</f>
        <v>395.96199999999999</v>
      </c>
    </row>
    <row r="78" spans="2:4" ht="15.75" thickBot="1" x14ac:dyDescent="0.3">
      <c r="B78" s="113" t="s">
        <v>29</v>
      </c>
      <c r="C78" s="114" t="s">
        <v>255</v>
      </c>
      <c r="D78" s="117">
        <f>E61</f>
        <v>895.10038399999996</v>
      </c>
    </row>
    <row r="79" spans="2:4" ht="15.75" thickBot="1" x14ac:dyDescent="0.3">
      <c r="B79" s="113" t="s">
        <v>40</v>
      </c>
      <c r="C79" s="114" t="s">
        <v>256</v>
      </c>
      <c r="D79" s="115">
        <f>D71</f>
        <v>480.92040000000003</v>
      </c>
    </row>
    <row r="80" spans="2:4" ht="15.75" thickBot="1" x14ac:dyDescent="0.3">
      <c r="B80" s="204" t="s">
        <v>1</v>
      </c>
      <c r="C80" s="205"/>
      <c r="D80" s="155">
        <f>SUM(D77:D79)</f>
        <v>1771.9827839999998</v>
      </c>
    </row>
    <row r="81" spans="2:9" x14ac:dyDescent="0.25">
      <c r="B81" s="2"/>
    </row>
    <row r="83" spans="2:9" x14ac:dyDescent="0.25">
      <c r="B83" s="203" t="s">
        <v>44</v>
      </c>
      <c r="C83" s="203"/>
      <c r="D83" s="203"/>
    </row>
    <row r="84" spans="2:9" ht="15.75" thickBot="1" x14ac:dyDescent="0.3"/>
    <row r="85" spans="2:9" ht="15.75" thickBot="1" x14ac:dyDescent="0.3">
      <c r="B85" s="111">
        <v>3</v>
      </c>
      <c r="C85" s="137" t="s">
        <v>45</v>
      </c>
      <c r="D85" s="137" t="s">
        <v>12</v>
      </c>
    </row>
    <row r="86" spans="2:9" ht="30.75" thickBot="1" x14ac:dyDescent="0.3">
      <c r="B86" s="113" t="s">
        <v>13</v>
      </c>
      <c r="C86" s="123" t="s">
        <v>325</v>
      </c>
      <c r="D86" s="124">
        <f>(D38+D47+E60)/12</f>
        <v>218.91041999999996</v>
      </c>
      <c r="E86" s="119">
        <v>5.2343130545706223E-3</v>
      </c>
      <c r="G86" s="93">
        <v>2036.38</v>
      </c>
    </row>
    <row r="87" spans="2:9" ht="15.75" thickBot="1" x14ac:dyDescent="0.3">
      <c r="B87" s="113" t="s">
        <v>15</v>
      </c>
      <c r="C87" s="126" t="s">
        <v>272</v>
      </c>
      <c r="D87" s="124">
        <f>D86*0.08</f>
        <v>17.512833599999997</v>
      </c>
      <c r="E87" s="119">
        <v>4.1874504436564982E-4</v>
      </c>
      <c r="G87" s="93">
        <v>395.96</v>
      </c>
    </row>
    <row r="88" spans="2:9" ht="15.75" thickBot="1" x14ac:dyDescent="0.3">
      <c r="B88" s="113" t="s">
        <v>16</v>
      </c>
      <c r="C88" s="126" t="s">
        <v>274</v>
      </c>
      <c r="D88" s="124">
        <f>D87*0.5</f>
        <v>8.7564167999999984</v>
      </c>
      <c r="E88" s="119">
        <v>2.0678767622995051E-4</v>
      </c>
      <c r="G88" s="93">
        <v>895.1</v>
      </c>
    </row>
    <row r="89" spans="2:9" ht="45.75" thickBot="1" x14ac:dyDescent="0.3">
      <c r="B89" s="113" t="s">
        <v>18</v>
      </c>
      <c r="C89" s="123" t="s">
        <v>275</v>
      </c>
      <c r="D89" s="124">
        <f>(((D38+D47+E61)/30)*7)/12</f>
        <v>64.700190799999987</v>
      </c>
      <c r="E89" s="119">
        <v>2.1389600260035509E-2</v>
      </c>
    </row>
    <row r="90" spans="2:9" ht="15.75" thickBot="1" x14ac:dyDescent="0.3">
      <c r="B90" s="113" t="s">
        <v>19</v>
      </c>
      <c r="C90" s="126" t="s">
        <v>276</v>
      </c>
      <c r="D90" s="124">
        <f>D89*0.368</f>
        <v>23.809670214399993</v>
      </c>
      <c r="E90" s="119">
        <v>7.8713728956930663E-3</v>
      </c>
      <c r="G90" s="93">
        <f>SUM(G86:G89)</f>
        <v>3327.44</v>
      </c>
    </row>
    <row r="91" spans="2:9" ht="15.75" thickBot="1" x14ac:dyDescent="0.3">
      <c r="B91" s="113" t="s">
        <v>21</v>
      </c>
      <c r="C91" s="126" t="s">
        <v>277</v>
      </c>
      <c r="D91" s="128">
        <f>((D89*0.08))*0.5</f>
        <v>2.5880076319999996</v>
      </c>
      <c r="E91" s="119">
        <v>8.5299916444854594E-4</v>
      </c>
      <c r="G91" s="119">
        <f>G90/30</f>
        <v>110.91466666666666</v>
      </c>
      <c r="H91" s="119"/>
      <c r="I91" s="119"/>
    </row>
    <row r="92" spans="2:9" ht="15.75" thickBot="1" x14ac:dyDescent="0.3">
      <c r="B92" s="204" t="s">
        <v>1</v>
      </c>
      <c r="C92" s="205"/>
      <c r="D92" s="157">
        <f>SUM(D86:D91)</f>
        <v>336.27753904639991</v>
      </c>
      <c r="E92" s="119"/>
      <c r="G92" s="119">
        <f>G91*7</f>
        <v>776.40266666666662</v>
      </c>
      <c r="H92" s="119"/>
      <c r="I92" s="119"/>
    </row>
    <row r="93" spans="2:9" x14ac:dyDescent="0.25">
      <c r="G93" s="119">
        <f>G92/12</f>
        <v>64.700222222222223</v>
      </c>
      <c r="H93" s="119"/>
      <c r="I93" s="119"/>
    </row>
    <row r="95" spans="2:9" x14ac:dyDescent="0.25">
      <c r="B95" s="203" t="s">
        <v>46</v>
      </c>
      <c r="C95" s="203"/>
      <c r="D95" s="203"/>
    </row>
    <row r="97" spans="2:9" x14ac:dyDescent="0.25">
      <c r="H97" s="119"/>
      <c r="I97" s="119"/>
    </row>
    <row r="98" spans="2:9" x14ac:dyDescent="0.25">
      <c r="B98" s="206" t="s">
        <v>47</v>
      </c>
      <c r="C98" s="206"/>
      <c r="D98" s="206"/>
      <c r="H98" s="119"/>
    </row>
    <row r="99" spans="2:9" ht="15.75" thickBot="1" x14ac:dyDescent="0.3">
      <c r="B99" s="118"/>
    </row>
    <row r="100" spans="2:9" ht="15.75" thickBot="1" x14ac:dyDescent="0.3">
      <c r="B100" s="111" t="s">
        <v>48</v>
      </c>
      <c r="C100" s="137" t="s">
        <v>49</v>
      </c>
      <c r="D100" s="137" t="s">
        <v>12</v>
      </c>
    </row>
    <row r="101" spans="2:9" ht="15.75" thickBot="1" x14ac:dyDescent="0.3">
      <c r="B101" s="113" t="s">
        <v>13</v>
      </c>
      <c r="C101" s="114" t="s">
        <v>106</v>
      </c>
      <c r="D101" s="115"/>
    </row>
    <row r="102" spans="2:9" ht="15.75" thickBot="1" x14ac:dyDescent="0.3">
      <c r="B102" s="113" t="s">
        <v>15</v>
      </c>
      <c r="C102" s="114" t="s">
        <v>107</v>
      </c>
      <c r="D102" s="115">
        <v>121.9</v>
      </c>
      <c r="E102" s="119">
        <v>1.2446033263090147E-2</v>
      </c>
    </row>
    <row r="103" spans="2:9" ht="15.75" thickBot="1" x14ac:dyDescent="0.3">
      <c r="B103" s="113" t="s">
        <v>16</v>
      </c>
      <c r="C103" s="114" t="s">
        <v>241</v>
      </c>
      <c r="D103" s="115">
        <v>1.82</v>
      </c>
      <c r="E103" s="119">
        <v>3.1664362922711174E-4</v>
      </c>
    </row>
    <row r="104" spans="2:9" ht="15.75" thickBot="1" x14ac:dyDescent="0.3">
      <c r="B104" s="113" t="s">
        <v>18</v>
      </c>
      <c r="C104" s="114" t="s">
        <v>108</v>
      </c>
      <c r="D104" s="115">
        <v>3.91</v>
      </c>
      <c r="E104" s="119">
        <v>4.9112073104613243E-4</v>
      </c>
    </row>
    <row r="105" spans="2:9" ht="15.75" thickBot="1" x14ac:dyDescent="0.3">
      <c r="B105" s="113" t="s">
        <v>19</v>
      </c>
      <c r="C105" s="114" t="s">
        <v>109</v>
      </c>
      <c r="D105" s="115">
        <v>1.41</v>
      </c>
      <c r="E105" s="119">
        <v>1.0597868406784963E-3</v>
      </c>
    </row>
    <row r="106" spans="2:9" ht="15.75" thickBot="1" x14ac:dyDescent="0.3">
      <c r="B106" s="113" t="s">
        <v>21</v>
      </c>
      <c r="C106" s="114" t="s">
        <v>110</v>
      </c>
      <c r="D106" s="116"/>
    </row>
    <row r="107" spans="2:9" ht="15.75" thickBot="1" x14ac:dyDescent="0.3">
      <c r="B107" s="204" t="s">
        <v>38</v>
      </c>
      <c r="C107" s="205"/>
      <c r="D107" s="158">
        <f>SUM(D101:D106)</f>
        <v>129.04</v>
      </c>
    </row>
    <row r="110" spans="2:9" x14ac:dyDescent="0.25">
      <c r="B110" s="206" t="s">
        <v>112</v>
      </c>
      <c r="C110" s="206"/>
      <c r="D110" s="206"/>
    </row>
    <row r="111" spans="2:9" ht="15.75" thickBot="1" x14ac:dyDescent="0.3">
      <c r="B111" s="118"/>
    </row>
    <row r="112" spans="2:9" ht="15.75" thickBot="1" x14ac:dyDescent="0.3">
      <c r="B112" s="111" t="s">
        <v>50</v>
      </c>
      <c r="C112" s="137" t="s">
        <v>111</v>
      </c>
      <c r="D112" s="137" t="s">
        <v>12</v>
      </c>
    </row>
    <row r="113" spans="2:4" ht="15.75" thickBot="1" x14ac:dyDescent="0.3">
      <c r="B113" s="113" t="s">
        <v>13</v>
      </c>
      <c r="C113" s="122" t="s">
        <v>264</v>
      </c>
      <c r="D113" s="115">
        <v>221.56</v>
      </c>
    </row>
    <row r="114" spans="2:4" ht="15.75" thickBot="1" x14ac:dyDescent="0.3">
      <c r="B114" s="204" t="s">
        <v>1</v>
      </c>
      <c r="C114" s="205"/>
      <c r="D114" s="158">
        <f>SUM(D113)</f>
        <v>221.56</v>
      </c>
    </row>
    <row r="117" spans="2:4" x14ac:dyDescent="0.25">
      <c r="B117" s="206" t="s">
        <v>51</v>
      </c>
      <c r="C117" s="206"/>
      <c r="D117" s="206"/>
    </row>
    <row r="118" spans="2:4" ht="15.75" thickBot="1" x14ac:dyDescent="0.3">
      <c r="B118" s="118"/>
    </row>
    <row r="119" spans="2:4" ht="15.75" thickBot="1" x14ac:dyDescent="0.3">
      <c r="B119" s="111">
        <v>4</v>
      </c>
      <c r="C119" s="137" t="s">
        <v>52</v>
      </c>
      <c r="D119" s="137" t="s">
        <v>12</v>
      </c>
    </row>
    <row r="120" spans="2:4" ht="15.75" thickBot="1" x14ac:dyDescent="0.3">
      <c r="B120" s="113" t="s">
        <v>48</v>
      </c>
      <c r="C120" s="114" t="s">
        <v>261</v>
      </c>
      <c r="D120" s="115">
        <f>D107</f>
        <v>129.04</v>
      </c>
    </row>
    <row r="121" spans="2:4" ht="15.75" thickBot="1" x14ac:dyDescent="0.3">
      <c r="B121" s="113" t="s">
        <v>50</v>
      </c>
      <c r="C121" s="130" t="s">
        <v>262</v>
      </c>
      <c r="D121" s="131">
        <f>D114</f>
        <v>221.56</v>
      </c>
    </row>
    <row r="122" spans="2:4" ht="15.75" thickBot="1" x14ac:dyDescent="0.3">
      <c r="B122" s="204" t="s">
        <v>1</v>
      </c>
      <c r="C122" s="205"/>
      <c r="D122" s="158">
        <f>SUM(D120:D121)</f>
        <v>350.6</v>
      </c>
    </row>
    <row r="125" spans="2:4" x14ac:dyDescent="0.25">
      <c r="B125" s="203" t="s">
        <v>53</v>
      </c>
      <c r="C125" s="203"/>
      <c r="D125" s="203"/>
    </row>
    <row r="126" spans="2:4" ht="15.75" thickBot="1" x14ac:dyDescent="0.3"/>
    <row r="127" spans="2:4" ht="15.75" thickBot="1" x14ac:dyDescent="0.3">
      <c r="B127" s="195">
        <v>5</v>
      </c>
      <c r="C127" s="196" t="s">
        <v>5</v>
      </c>
      <c r="D127" s="197" t="s">
        <v>12</v>
      </c>
    </row>
    <row r="128" spans="2:4" ht="15.75" thickBot="1" x14ac:dyDescent="0.3">
      <c r="B128" s="198" t="s">
        <v>13</v>
      </c>
      <c r="C128" s="199" t="s">
        <v>54</v>
      </c>
      <c r="D128" s="200">
        <f>Uniformes!H15</f>
        <v>70.569444444444443</v>
      </c>
    </row>
    <row r="129" spans="2:5" ht="15.75" thickBot="1" x14ac:dyDescent="0.3">
      <c r="B129" s="198" t="s">
        <v>15</v>
      </c>
      <c r="C129" s="199" t="s">
        <v>144</v>
      </c>
      <c r="D129" s="200">
        <f>'Material de uso individual'!H10</f>
        <v>37.958333333333336</v>
      </c>
    </row>
    <row r="130" spans="2:5" ht="15.75" thickBot="1" x14ac:dyDescent="0.3">
      <c r="B130" s="198" t="s">
        <v>16</v>
      </c>
      <c r="C130" s="199" t="s">
        <v>145</v>
      </c>
      <c r="D130" s="200">
        <f>'Masterial de uso coletivo'!H7+'Masterial de uso coletivo'!H15</f>
        <v>11.902333333333333</v>
      </c>
    </row>
    <row r="131" spans="2:5" ht="15.75" thickBot="1" x14ac:dyDescent="0.3">
      <c r="B131" s="198" t="s">
        <v>18</v>
      </c>
      <c r="C131" s="199" t="s">
        <v>146</v>
      </c>
      <c r="D131" s="200">
        <f>'Equipamentos-Depreciação'!P23</f>
        <v>51.750908045977013</v>
      </c>
    </row>
    <row r="132" spans="2:5" ht="15.75" thickBot="1" x14ac:dyDescent="0.3">
      <c r="B132" s="204" t="s">
        <v>38</v>
      </c>
      <c r="C132" s="205"/>
      <c r="D132" s="155">
        <f>SUM(D128:D131)</f>
        <v>172.18101915708812</v>
      </c>
    </row>
    <row r="135" spans="2:5" x14ac:dyDescent="0.25">
      <c r="B135" s="203" t="s">
        <v>55</v>
      </c>
      <c r="C135" s="203"/>
      <c r="D135" s="203"/>
    </row>
    <row r="136" spans="2:5" ht="15.75" thickBot="1" x14ac:dyDescent="0.3"/>
    <row r="137" spans="2:5" ht="33" customHeight="1" thickBot="1" x14ac:dyDescent="0.3">
      <c r="B137" s="111">
        <v>6</v>
      </c>
      <c r="C137" s="132" t="s">
        <v>6</v>
      </c>
      <c r="D137" s="137" t="s">
        <v>31</v>
      </c>
      <c r="E137" s="137" t="s">
        <v>12</v>
      </c>
    </row>
    <row r="138" spans="2:5" ht="15.75" thickBot="1" x14ac:dyDescent="0.3">
      <c r="B138" s="113" t="s">
        <v>13</v>
      </c>
      <c r="C138" s="114" t="s">
        <v>7</v>
      </c>
      <c r="D138" s="133">
        <v>0.06</v>
      </c>
      <c r="E138" s="115">
        <f>(D132+D122+D92+D80+D38)*D138</f>
        <v>280.04504053220921</v>
      </c>
    </row>
    <row r="139" spans="2:5" ht="15.75" thickBot="1" x14ac:dyDescent="0.3">
      <c r="B139" s="113" t="s">
        <v>15</v>
      </c>
      <c r="C139" s="114" t="s">
        <v>9</v>
      </c>
      <c r="D139" s="133">
        <v>6.7900000000000002E-2</v>
      </c>
      <c r="E139" s="115">
        <f>(D132+D122+D92+D80+D38+E138)*D139</f>
        <v>335.9326957877538</v>
      </c>
    </row>
    <row r="140" spans="2:5" ht="15.75" thickBot="1" x14ac:dyDescent="0.3">
      <c r="B140" s="113" t="s">
        <v>16</v>
      </c>
      <c r="C140" s="114" t="s">
        <v>8</v>
      </c>
      <c r="D140" s="133"/>
      <c r="E140" s="116"/>
    </row>
    <row r="141" spans="2:5" ht="15.75" thickBot="1" x14ac:dyDescent="0.3">
      <c r="B141" s="113"/>
      <c r="C141" s="114" t="s">
        <v>56</v>
      </c>
      <c r="D141" s="133"/>
      <c r="E141" s="117">
        <f>D157*0.0365</f>
        <v>211.10445579212472</v>
      </c>
    </row>
    <row r="142" spans="2:5" ht="15.75" thickBot="1" x14ac:dyDescent="0.3">
      <c r="B142" s="113"/>
      <c r="C142" s="114" t="s">
        <v>57</v>
      </c>
      <c r="D142" s="133"/>
      <c r="E142" s="115"/>
    </row>
    <row r="143" spans="2:5" ht="15.75" thickBot="1" x14ac:dyDescent="0.3">
      <c r="B143" s="113"/>
      <c r="C143" s="114" t="s">
        <v>58</v>
      </c>
      <c r="D143" s="133"/>
      <c r="E143" s="115">
        <f>D157*0.05</f>
        <v>289.18418601660926</v>
      </c>
    </row>
    <row r="144" spans="2:5" ht="15.75" thickBot="1" x14ac:dyDescent="0.3">
      <c r="B144" s="204" t="s">
        <v>38</v>
      </c>
      <c r="C144" s="205"/>
      <c r="D144" s="192"/>
      <c r="E144" s="155">
        <f>SUM(E138:E143)</f>
        <v>1116.2663781286969</v>
      </c>
    </row>
    <row r="147" spans="2:4" x14ac:dyDescent="0.25">
      <c r="B147" s="203" t="s">
        <v>59</v>
      </c>
      <c r="C147" s="203"/>
      <c r="D147" s="203"/>
    </row>
    <row r="148" spans="2:4" ht="15.75" thickBot="1" x14ac:dyDescent="0.3"/>
    <row r="149" spans="2:4" ht="15.75" thickBot="1" x14ac:dyDescent="0.3">
      <c r="B149" s="111"/>
      <c r="C149" s="137" t="s">
        <v>60</v>
      </c>
      <c r="D149" s="137" t="s">
        <v>12</v>
      </c>
    </row>
    <row r="150" spans="2:4" ht="15.75" thickBot="1" x14ac:dyDescent="0.3">
      <c r="B150" s="134" t="s">
        <v>13</v>
      </c>
      <c r="C150" s="114" t="s">
        <v>10</v>
      </c>
      <c r="D150" s="169">
        <f>D38</f>
        <v>2036.3759999999997</v>
      </c>
    </row>
    <row r="151" spans="2:4" ht="15.75" thickBot="1" x14ac:dyDescent="0.3">
      <c r="B151" s="134" t="s">
        <v>15</v>
      </c>
      <c r="C151" s="114" t="s">
        <v>24</v>
      </c>
      <c r="D151" s="169">
        <f>D80</f>
        <v>1771.9827839999998</v>
      </c>
    </row>
    <row r="152" spans="2:4" ht="15.75" thickBot="1" x14ac:dyDescent="0.3">
      <c r="B152" s="134" t="s">
        <v>16</v>
      </c>
      <c r="C152" s="114" t="s">
        <v>44</v>
      </c>
      <c r="D152" s="171">
        <f>D92</f>
        <v>336.27753904639991</v>
      </c>
    </row>
    <row r="153" spans="2:4" ht="15.75" thickBot="1" x14ac:dyDescent="0.3">
      <c r="B153" s="134" t="s">
        <v>18</v>
      </c>
      <c r="C153" s="114" t="s">
        <v>46</v>
      </c>
      <c r="D153" s="135">
        <f>D122</f>
        <v>350.6</v>
      </c>
    </row>
    <row r="154" spans="2:4" ht="15.75" thickBot="1" x14ac:dyDescent="0.3">
      <c r="B154" s="134" t="s">
        <v>19</v>
      </c>
      <c r="C154" s="114" t="s">
        <v>53</v>
      </c>
      <c r="D154" s="169">
        <f>D132</f>
        <v>172.18101915708812</v>
      </c>
    </row>
    <row r="155" spans="2:4" ht="15.75" thickBot="1" x14ac:dyDescent="0.3">
      <c r="B155" s="225" t="s">
        <v>61</v>
      </c>
      <c r="C155" s="226"/>
      <c r="D155" s="169">
        <f>SUM(D150:D154)</f>
        <v>4667.4173422034883</v>
      </c>
    </row>
    <row r="156" spans="2:4" ht="15.75" thickBot="1" x14ac:dyDescent="0.3">
      <c r="B156" s="134" t="s">
        <v>21</v>
      </c>
      <c r="C156" s="114" t="s">
        <v>62</v>
      </c>
      <c r="D156" s="135">
        <f>E144</f>
        <v>1116.2663781286969</v>
      </c>
    </row>
    <row r="157" spans="2:4" ht="15.75" thickBot="1" x14ac:dyDescent="0.3">
      <c r="B157" s="204" t="s">
        <v>63</v>
      </c>
      <c r="C157" s="205"/>
      <c r="D157" s="194">
        <f>(D155+E138+E139)/0.9135</f>
        <v>5783.6837203321847</v>
      </c>
    </row>
    <row r="158" spans="2:4" ht="15.75" thickBot="1" x14ac:dyDescent="0.3">
      <c r="C158" s="164" t="s">
        <v>113</v>
      </c>
      <c r="D158" s="165">
        <f>D157*2</f>
        <v>11567.367440664369</v>
      </c>
    </row>
    <row r="161" spans="2:4" x14ac:dyDescent="0.25">
      <c r="B161" s="203" t="s">
        <v>317</v>
      </c>
      <c r="C161" s="203"/>
      <c r="D161" s="203"/>
    </row>
    <row r="162" spans="2:4" ht="15.75" thickBot="1" x14ac:dyDescent="0.3"/>
    <row r="163" spans="2:4" ht="15.75" thickBot="1" x14ac:dyDescent="0.3">
      <c r="B163" s="190"/>
      <c r="C163" s="191" t="s">
        <v>318</v>
      </c>
      <c r="D163" s="188" t="s">
        <v>12</v>
      </c>
    </row>
    <row r="164" spans="2:4" ht="15.75" thickBot="1" x14ac:dyDescent="0.3">
      <c r="B164" s="184" t="s">
        <v>13</v>
      </c>
      <c r="C164" s="186" t="s">
        <v>319</v>
      </c>
      <c r="D164" s="185">
        <f>D158</f>
        <v>11567.367440664369</v>
      </c>
    </row>
    <row r="165" spans="2:4" ht="15.75" thickBot="1" x14ac:dyDescent="0.3">
      <c r="B165" s="184" t="s">
        <v>15</v>
      </c>
      <c r="C165" s="186" t="s">
        <v>320</v>
      </c>
      <c r="D165" s="185">
        <f>D164*D18</f>
        <v>57836.837203321847</v>
      </c>
    </row>
    <row r="166" spans="2:4" ht="15.75" thickBot="1" x14ac:dyDescent="0.3">
      <c r="B166" s="184" t="s">
        <v>16</v>
      </c>
      <c r="C166" s="186" t="s">
        <v>321</v>
      </c>
      <c r="D166" s="185">
        <f>D165*12</f>
        <v>694042.04643986211</v>
      </c>
    </row>
  </sheetData>
  <mergeCells count="38">
    <mergeCell ref="B40:D40"/>
    <mergeCell ref="B1:E1"/>
    <mergeCell ref="B4:E4"/>
    <mergeCell ref="B28:D28"/>
    <mergeCell ref="B38:C38"/>
    <mergeCell ref="B2:E2"/>
    <mergeCell ref="B3:E3"/>
    <mergeCell ref="B144:C144"/>
    <mergeCell ref="B147:D147"/>
    <mergeCell ref="B155:C155"/>
    <mergeCell ref="B98:D98"/>
    <mergeCell ref="B42:D42"/>
    <mergeCell ref="B47:C47"/>
    <mergeCell ref="B50:E50"/>
    <mergeCell ref="B61:C61"/>
    <mergeCell ref="B64:D64"/>
    <mergeCell ref="B71:C71"/>
    <mergeCell ref="B74:D74"/>
    <mergeCell ref="B80:C80"/>
    <mergeCell ref="B83:D83"/>
    <mergeCell ref="B92:C92"/>
    <mergeCell ref="B95:D95"/>
    <mergeCell ref="B161:D161"/>
    <mergeCell ref="B6:D6"/>
    <mergeCell ref="B7:D7"/>
    <mergeCell ref="B8:D8"/>
    <mergeCell ref="B9:D9"/>
    <mergeCell ref="B16:D16"/>
    <mergeCell ref="B20:D20"/>
    <mergeCell ref="B157:C157"/>
    <mergeCell ref="B107:C107"/>
    <mergeCell ref="B110:D110"/>
    <mergeCell ref="B114:C114"/>
    <mergeCell ref="B117:D117"/>
    <mergeCell ref="B122:C122"/>
    <mergeCell ref="B125:D125"/>
    <mergeCell ref="B132:C132"/>
    <mergeCell ref="B135:D135"/>
  </mergeCells>
  <hyperlinks>
    <hyperlink ref="C4" r:id="rId1" display="https://www.comprasgovernamentais.gov.br/index.php/noticias/942-planilha-noticia"/>
  </hyperlinks>
  <pageMargins left="0.511811024" right="0.511811024" top="0.78740157499999996" bottom="0.78740157499999996" header="0.31496062000000002" footer="0.31496062000000002"/>
  <pageSetup orientation="portrait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65"/>
  <sheetViews>
    <sheetView showGridLines="0" topLeftCell="A130" zoomScaleNormal="100" workbookViewId="0">
      <selection activeCell="B9" sqref="B9:E165"/>
    </sheetView>
  </sheetViews>
  <sheetFormatPr defaultRowHeight="15" x14ac:dyDescent="0.25"/>
  <cols>
    <col min="1" max="1" width="9.140625" style="93"/>
    <col min="2" max="2" width="10.85546875" style="93" customWidth="1"/>
    <col min="3" max="3" width="97.28515625" style="93" customWidth="1"/>
    <col min="4" max="4" width="26.140625" style="93" customWidth="1"/>
    <col min="5" max="5" width="14.28515625" style="93" customWidth="1"/>
    <col min="6" max="6" width="12.7109375" style="93" customWidth="1"/>
    <col min="7" max="7" width="12" style="93" customWidth="1"/>
    <col min="8" max="8" width="15.140625" style="93" customWidth="1"/>
    <col min="9" max="9" width="10.7109375" style="93" bestFit="1" customWidth="1"/>
    <col min="10" max="16384" width="9.140625" style="93"/>
  </cols>
  <sheetData>
    <row r="1" spans="2:5" s="41" customFormat="1" x14ac:dyDescent="0.25">
      <c r="B1" s="210" t="s">
        <v>64</v>
      </c>
      <c r="C1" s="210"/>
      <c r="D1" s="210"/>
      <c r="E1" s="210"/>
    </row>
    <row r="2" spans="2:5" s="41" customFormat="1" x14ac:dyDescent="0.25">
      <c r="B2" s="210" t="s">
        <v>65</v>
      </c>
      <c r="C2" s="210"/>
      <c r="D2" s="210"/>
      <c r="E2" s="210"/>
    </row>
    <row r="3" spans="2:5" s="41" customFormat="1" x14ac:dyDescent="0.25">
      <c r="B3" s="210" t="s">
        <v>286</v>
      </c>
      <c r="C3" s="210"/>
      <c r="D3" s="210"/>
      <c r="E3" s="210"/>
    </row>
    <row r="4" spans="2:5" x14ac:dyDescent="0.25">
      <c r="B4" s="211" t="s">
        <v>66</v>
      </c>
      <c r="C4" s="211"/>
      <c r="D4" s="211"/>
      <c r="E4" s="211"/>
    </row>
    <row r="5" spans="2:5" ht="15.75" thickBot="1" x14ac:dyDescent="0.3">
      <c r="B5" s="138"/>
      <c r="C5" s="138"/>
      <c r="D5" s="138"/>
      <c r="E5" s="138"/>
    </row>
    <row r="6" spans="2:5" s="136" customFormat="1" x14ac:dyDescent="0.25">
      <c r="B6" s="216" t="s">
        <v>288</v>
      </c>
      <c r="C6" s="217"/>
      <c r="D6" s="218"/>
    </row>
    <row r="7" spans="2:5" s="136" customFormat="1" x14ac:dyDescent="0.25">
      <c r="B7" s="219" t="s">
        <v>289</v>
      </c>
      <c r="C7" s="220"/>
      <c r="D7" s="221"/>
    </row>
    <row r="8" spans="2:5" s="136" customFormat="1" ht="15.75" thickBot="1" x14ac:dyDescent="0.3">
      <c r="B8" s="222" t="s">
        <v>290</v>
      </c>
      <c r="C8" s="223"/>
      <c r="D8" s="224"/>
    </row>
    <row r="9" spans="2:5" ht="15.75" thickBot="1" x14ac:dyDescent="0.3">
      <c r="B9" s="213" t="s">
        <v>287</v>
      </c>
      <c r="C9" s="214" t="s">
        <v>11</v>
      </c>
      <c r="D9" s="215" t="s">
        <v>12</v>
      </c>
    </row>
    <row r="10" spans="2:5" ht="15.75" thickBot="1" x14ac:dyDescent="0.3">
      <c r="B10" s="113" t="s">
        <v>13</v>
      </c>
      <c r="C10" s="114" t="s">
        <v>291</v>
      </c>
      <c r="D10" s="139" t="s">
        <v>309</v>
      </c>
    </row>
    <row r="11" spans="2:5" ht="15.75" thickBot="1" x14ac:dyDescent="0.3">
      <c r="B11" s="113" t="s">
        <v>15</v>
      </c>
      <c r="C11" s="114" t="s">
        <v>292</v>
      </c>
      <c r="D11" s="115" t="s">
        <v>310</v>
      </c>
    </row>
    <row r="12" spans="2:5" ht="15.75" thickBot="1" x14ac:dyDescent="0.3">
      <c r="B12" s="113" t="s">
        <v>16</v>
      </c>
      <c r="C12" s="114" t="s">
        <v>294</v>
      </c>
      <c r="D12" s="115" t="s">
        <v>311</v>
      </c>
    </row>
    <row r="13" spans="2:5" ht="15.75" thickBot="1" x14ac:dyDescent="0.3">
      <c r="B13" s="113" t="s">
        <v>18</v>
      </c>
      <c r="C13" s="114" t="s">
        <v>312</v>
      </c>
      <c r="D13" s="140">
        <v>43537</v>
      </c>
    </row>
    <row r="14" spans="2:5" ht="15.75" thickBot="1" x14ac:dyDescent="0.3">
      <c r="B14" s="144" t="s">
        <v>19</v>
      </c>
      <c r="C14" s="146" t="s">
        <v>293</v>
      </c>
      <c r="D14" s="145">
        <v>12</v>
      </c>
    </row>
    <row r="15" spans="2:5" ht="15.75" thickBot="1" x14ac:dyDescent="0.3">
      <c r="B15" s="138"/>
      <c r="C15" s="110"/>
      <c r="D15" s="138"/>
      <c r="E15" s="138"/>
    </row>
    <row r="16" spans="2:5" ht="15.75" thickBot="1" x14ac:dyDescent="0.3">
      <c r="B16" s="213" t="s">
        <v>295</v>
      </c>
      <c r="C16" s="214" t="s">
        <v>11</v>
      </c>
      <c r="D16" s="215" t="s">
        <v>12</v>
      </c>
    </row>
    <row r="17" spans="2:5" ht="35.25" customHeight="1" thickBot="1" x14ac:dyDescent="0.3">
      <c r="B17" s="134" t="s">
        <v>296</v>
      </c>
      <c r="C17" s="143" t="s">
        <v>299</v>
      </c>
      <c r="D17" s="142" t="s">
        <v>314</v>
      </c>
    </row>
    <row r="18" spans="2:5" ht="30.75" thickBot="1" x14ac:dyDescent="0.3">
      <c r="B18" s="134" t="s">
        <v>298</v>
      </c>
      <c r="C18" s="143" t="s">
        <v>297</v>
      </c>
      <c r="D18" s="141">
        <v>2</v>
      </c>
    </row>
    <row r="19" spans="2:5" ht="15.75" thickBot="1" x14ac:dyDescent="0.3">
      <c r="B19" s="138"/>
      <c r="C19" s="110"/>
      <c r="D19" s="138"/>
      <c r="E19" s="138"/>
    </row>
    <row r="20" spans="2:5" ht="15.75" thickBot="1" x14ac:dyDescent="0.3">
      <c r="B20" s="213" t="s">
        <v>300</v>
      </c>
      <c r="C20" s="214" t="s">
        <v>11</v>
      </c>
      <c r="D20" s="215" t="s">
        <v>12</v>
      </c>
    </row>
    <row r="21" spans="2:5" ht="45.75" thickBot="1" x14ac:dyDescent="0.3">
      <c r="B21" s="147">
        <v>1</v>
      </c>
      <c r="C21" s="146" t="s">
        <v>301</v>
      </c>
      <c r="D21" s="148" t="s">
        <v>328</v>
      </c>
    </row>
    <row r="22" spans="2:5" ht="15.75" thickBot="1" x14ac:dyDescent="0.3">
      <c r="B22" s="149">
        <v>2</v>
      </c>
      <c r="C22" s="150" t="s">
        <v>303</v>
      </c>
      <c r="D22" s="151" t="s">
        <v>307</v>
      </c>
    </row>
    <row r="23" spans="2:5" ht="15.75" thickBot="1" x14ac:dyDescent="0.3">
      <c r="B23" s="147">
        <v>3</v>
      </c>
      <c r="C23" s="146" t="s">
        <v>304</v>
      </c>
      <c r="D23" s="152">
        <v>1246.32</v>
      </c>
    </row>
    <row r="24" spans="2:5" ht="17.25" customHeight="1" thickBot="1" x14ac:dyDescent="0.3">
      <c r="B24" s="149">
        <v>4</v>
      </c>
      <c r="C24" s="150" t="s">
        <v>305</v>
      </c>
      <c r="D24" s="153" t="s">
        <v>308</v>
      </c>
    </row>
    <row r="25" spans="2:5" ht="18.75" customHeight="1" thickBot="1" x14ac:dyDescent="0.3">
      <c r="B25" s="147">
        <v>5</v>
      </c>
      <c r="C25" s="146" t="s">
        <v>306</v>
      </c>
      <c r="D25" s="154" t="s">
        <v>313</v>
      </c>
    </row>
    <row r="26" spans="2:5" x14ac:dyDescent="0.25">
      <c r="B26" s="138"/>
      <c r="C26" s="138"/>
      <c r="D26" s="138"/>
      <c r="E26" s="138"/>
    </row>
    <row r="27" spans="2:5" x14ac:dyDescent="0.25">
      <c r="B27" s="212" t="s">
        <v>10</v>
      </c>
      <c r="C27" s="212"/>
      <c r="D27" s="212"/>
    </row>
    <row r="28" spans="2:5" ht="15.75" thickBot="1" x14ac:dyDescent="0.3"/>
    <row r="29" spans="2:5" ht="15.75" thickBot="1" x14ac:dyDescent="0.3">
      <c r="B29" s="111">
        <v>1</v>
      </c>
      <c r="C29" s="137" t="s">
        <v>11</v>
      </c>
      <c r="D29" s="137" t="s">
        <v>12</v>
      </c>
    </row>
    <row r="30" spans="2:5" ht="15.75" thickBot="1" x14ac:dyDescent="0.3">
      <c r="B30" s="113" t="s">
        <v>13</v>
      </c>
      <c r="C30" s="114" t="s">
        <v>204</v>
      </c>
      <c r="D30" s="172">
        <v>1370.95</v>
      </c>
    </row>
    <row r="31" spans="2:5" ht="15.75" thickBot="1" x14ac:dyDescent="0.3">
      <c r="B31" s="113" t="s">
        <v>15</v>
      </c>
      <c r="C31" s="114" t="s">
        <v>206</v>
      </c>
      <c r="D31" s="172">
        <f>D30*0.3</f>
        <v>411.28500000000003</v>
      </c>
    </row>
    <row r="32" spans="2:5" ht="15.75" thickBot="1" x14ac:dyDescent="0.3">
      <c r="B32" s="113" t="s">
        <v>16</v>
      </c>
      <c r="C32" s="114" t="s">
        <v>17</v>
      </c>
      <c r="D32" s="173"/>
    </row>
    <row r="33" spans="2:4" ht="15.75" thickBot="1" x14ac:dyDescent="0.3">
      <c r="B33" s="113" t="s">
        <v>18</v>
      </c>
      <c r="C33" s="114" t="s">
        <v>207</v>
      </c>
      <c r="D33" s="173">
        <v>202.56</v>
      </c>
    </row>
    <row r="34" spans="2:4" ht="15.75" thickBot="1" x14ac:dyDescent="0.3">
      <c r="B34" s="113" t="s">
        <v>19</v>
      </c>
      <c r="C34" s="114" t="s">
        <v>208</v>
      </c>
      <c r="D34" s="173">
        <v>213.6</v>
      </c>
    </row>
    <row r="35" spans="2:4" ht="15.75" thickBot="1" x14ac:dyDescent="0.3">
      <c r="B35" s="113" t="s">
        <v>21</v>
      </c>
      <c r="C35" s="114" t="s">
        <v>23</v>
      </c>
      <c r="D35" s="173"/>
    </row>
    <row r="36" spans="2:4" ht="15.75" thickBot="1" x14ac:dyDescent="0.3">
      <c r="B36" s="113"/>
      <c r="C36" s="114"/>
      <c r="D36" s="173"/>
    </row>
    <row r="37" spans="2:4" ht="15.75" thickBot="1" x14ac:dyDescent="0.3">
      <c r="B37" s="204" t="s">
        <v>1</v>
      </c>
      <c r="C37" s="205"/>
      <c r="D37" s="201">
        <f>SUM(D30:D36)</f>
        <v>2198.395</v>
      </c>
    </row>
    <row r="39" spans="2:4" x14ac:dyDescent="0.25">
      <c r="B39" s="203" t="s">
        <v>24</v>
      </c>
      <c r="C39" s="203"/>
      <c r="D39" s="203"/>
    </row>
    <row r="40" spans="2:4" x14ac:dyDescent="0.25">
      <c r="B40" s="118"/>
    </row>
    <row r="41" spans="2:4" x14ac:dyDescent="0.25">
      <c r="B41" s="206" t="s">
        <v>25</v>
      </c>
      <c r="C41" s="206"/>
      <c r="D41" s="206"/>
    </row>
    <row r="42" spans="2:4" ht="15.75" thickBot="1" x14ac:dyDescent="0.3"/>
    <row r="43" spans="2:4" ht="15.75" thickBot="1" x14ac:dyDescent="0.3">
      <c r="B43" s="111" t="s">
        <v>26</v>
      </c>
      <c r="C43" s="137" t="s">
        <v>27</v>
      </c>
      <c r="D43" s="137" t="s">
        <v>12</v>
      </c>
    </row>
    <row r="44" spans="2:4" ht="15.75" thickBot="1" x14ac:dyDescent="0.3">
      <c r="B44" s="113" t="s">
        <v>13</v>
      </c>
      <c r="C44" s="114" t="s">
        <v>278</v>
      </c>
      <c r="D44" s="115">
        <f>D37/12</f>
        <v>183.19958333333332</v>
      </c>
    </row>
    <row r="45" spans="2:4" ht="15.75" thickBot="1" x14ac:dyDescent="0.3">
      <c r="B45" s="113" t="s">
        <v>15</v>
      </c>
      <c r="C45" s="114" t="s">
        <v>279</v>
      </c>
      <c r="D45" s="117">
        <f>((D37/3)/12+D44)</f>
        <v>244.26611111111109</v>
      </c>
    </row>
    <row r="46" spans="2:4" ht="15.75" thickBot="1" x14ac:dyDescent="0.3">
      <c r="B46" s="204" t="s">
        <v>1</v>
      </c>
      <c r="C46" s="205"/>
      <c r="D46" s="155">
        <f>SUM(D44:D45)</f>
        <v>427.46569444444441</v>
      </c>
    </row>
    <row r="49" spans="2:5" ht="32.25" customHeight="1" x14ac:dyDescent="0.25">
      <c r="B49" s="209" t="s">
        <v>28</v>
      </c>
      <c r="C49" s="209"/>
      <c r="D49" s="209"/>
      <c r="E49" s="209"/>
    </row>
    <row r="50" spans="2:5" ht="15.75" thickBot="1" x14ac:dyDescent="0.3"/>
    <row r="51" spans="2:5" ht="15.75" thickBot="1" x14ac:dyDescent="0.3">
      <c r="B51" s="111" t="s">
        <v>29</v>
      </c>
      <c r="C51" s="137" t="s">
        <v>30</v>
      </c>
      <c r="D51" s="137" t="s">
        <v>31</v>
      </c>
      <c r="E51" s="137" t="s">
        <v>12</v>
      </c>
    </row>
    <row r="52" spans="2:5" ht="15.75" thickBot="1" x14ac:dyDescent="0.3">
      <c r="B52" s="113" t="s">
        <v>13</v>
      </c>
      <c r="C52" s="114" t="s">
        <v>32</v>
      </c>
      <c r="D52" s="120">
        <v>0.2</v>
      </c>
      <c r="E52" s="115">
        <f>($D$37+$D$46)*D52</f>
        <v>525.17213888888898</v>
      </c>
    </row>
    <row r="53" spans="2:5" ht="15.75" thickBot="1" x14ac:dyDescent="0.3">
      <c r="B53" s="113" t="s">
        <v>15</v>
      </c>
      <c r="C53" s="114" t="s">
        <v>33</v>
      </c>
      <c r="D53" s="120">
        <v>2.5000000000000001E-2</v>
      </c>
      <c r="E53" s="115">
        <f t="shared" ref="E53:E58" si="0">($D$37+$D$46)*D53</f>
        <v>65.646517361111123</v>
      </c>
    </row>
    <row r="54" spans="2:5" ht="15.75" thickBot="1" x14ac:dyDescent="0.3">
      <c r="B54" s="113" t="s">
        <v>16</v>
      </c>
      <c r="C54" s="114" t="s">
        <v>34</v>
      </c>
      <c r="D54" s="121">
        <v>0.03</v>
      </c>
      <c r="E54" s="115">
        <f t="shared" si="0"/>
        <v>78.775820833333327</v>
      </c>
    </row>
    <row r="55" spans="2:5" ht="15.75" thickBot="1" x14ac:dyDescent="0.3">
      <c r="B55" s="113" t="s">
        <v>18</v>
      </c>
      <c r="C55" s="114" t="s">
        <v>35</v>
      </c>
      <c r="D55" s="120">
        <v>1.4999999999999999E-2</v>
      </c>
      <c r="E55" s="115">
        <f t="shared" si="0"/>
        <v>39.387910416666664</v>
      </c>
    </row>
    <row r="56" spans="2:5" ht="15.75" thickBot="1" x14ac:dyDescent="0.3">
      <c r="B56" s="113" t="s">
        <v>19</v>
      </c>
      <c r="C56" s="114" t="s">
        <v>36</v>
      </c>
      <c r="D56" s="120">
        <v>0.01</v>
      </c>
      <c r="E56" s="115">
        <f t="shared" si="0"/>
        <v>26.258606944444445</v>
      </c>
    </row>
    <row r="57" spans="2:5" ht="15.75" thickBot="1" x14ac:dyDescent="0.3">
      <c r="B57" s="113" t="s">
        <v>21</v>
      </c>
      <c r="C57" s="114" t="s">
        <v>2</v>
      </c>
      <c r="D57" s="120">
        <v>6.0000000000000001E-3</v>
      </c>
      <c r="E57" s="115">
        <f t="shared" si="0"/>
        <v>15.755164166666667</v>
      </c>
    </row>
    <row r="58" spans="2:5" ht="15.75" thickBot="1" x14ac:dyDescent="0.3">
      <c r="B58" s="113" t="s">
        <v>22</v>
      </c>
      <c r="C58" s="114" t="s">
        <v>3</v>
      </c>
      <c r="D58" s="120">
        <v>2E-3</v>
      </c>
      <c r="E58" s="115">
        <f t="shared" si="0"/>
        <v>5.251721388888889</v>
      </c>
    </row>
    <row r="59" spans="2:5" ht="15.75" thickBot="1" x14ac:dyDescent="0.3">
      <c r="B59" s="113" t="s">
        <v>37</v>
      </c>
      <c r="C59" s="114" t="s">
        <v>4</v>
      </c>
      <c r="D59" s="120">
        <v>0.08</v>
      </c>
      <c r="E59" s="115">
        <f>($D$37+$D$46)*D59</f>
        <v>210.06885555555556</v>
      </c>
    </row>
    <row r="60" spans="2:5" ht="15.75" thickBot="1" x14ac:dyDescent="0.3">
      <c r="B60" s="204" t="s">
        <v>38</v>
      </c>
      <c r="C60" s="205"/>
      <c r="D60" s="192">
        <f>SUM(D52:D59)</f>
        <v>0.36800000000000005</v>
      </c>
      <c r="E60" s="155">
        <f>SUM(E52:E59)</f>
        <v>966.31673555555562</v>
      </c>
    </row>
    <row r="63" spans="2:5" x14ac:dyDescent="0.25">
      <c r="B63" s="206" t="s">
        <v>39</v>
      </c>
      <c r="C63" s="206"/>
      <c r="D63" s="206"/>
    </row>
    <row r="64" spans="2:5" ht="15.75" thickBot="1" x14ac:dyDescent="0.3"/>
    <row r="65" spans="2:4" ht="15.75" thickBot="1" x14ac:dyDescent="0.3">
      <c r="B65" s="111" t="s">
        <v>40</v>
      </c>
      <c r="C65" s="137" t="s">
        <v>41</v>
      </c>
      <c r="D65" s="137" t="s">
        <v>12</v>
      </c>
    </row>
    <row r="66" spans="2:4" ht="15.75" thickBot="1" x14ac:dyDescent="0.3">
      <c r="B66" s="113" t="s">
        <v>13</v>
      </c>
      <c r="C66" s="114" t="s">
        <v>253</v>
      </c>
      <c r="D66" s="117">
        <f>(30*3.8)-(D30*0.03)</f>
        <v>72.871499999999997</v>
      </c>
    </row>
    <row r="67" spans="2:4" ht="15.75" thickBot="1" x14ac:dyDescent="0.3">
      <c r="B67" s="113" t="s">
        <v>15</v>
      </c>
      <c r="C67" s="114" t="s">
        <v>211</v>
      </c>
      <c r="D67" s="115">
        <f>(22*15)-(330*0.05)</f>
        <v>313.5</v>
      </c>
    </row>
    <row r="68" spans="2:4" ht="15.75" thickBot="1" x14ac:dyDescent="0.3">
      <c r="B68" s="113" t="s">
        <v>16</v>
      </c>
      <c r="C68" s="114" t="s">
        <v>212</v>
      </c>
      <c r="D68" s="115">
        <v>90.81</v>
      </c>
    </row>
    <row r="69" spans="2:4" ht="15.75" thickBot="1" x14ac:dyDescent="0.3">
      <c r="B69" s="113" t="s">
        <v>18</v>
      </c>
      <c r="C69" s="114" t="s">
        <v>23</v>
      </c>
      <c r="D69" s="116"/>
    </row>
    <row r="70" spans="2:4" ht="15.75" thickBot="1" x14ac:dyDescent="0.3">
      <c r="B70" s="204" t="s">
        <v>1</v>
      </c>
      <c r="C70" s="205"/>
      <c r="D70" s="155">
        <f>SUM(D66:D69)</f>
        <v>477.18149999999997</v>
      </c>
    </row>
    <row r="73" spans="2:4" x14ac:dyDescent="0.25">
      <c r="B73" s="206" t="s">
        <v>42</v>
      </c>
      <c r="C73" s="206"/>
      <c r="D73" s="206"/>
    </row>
    <row r="74" spans="2:4" ht="15.75" thickBot="1" x14ac:dyDescent="0.3"/>
    <row r="75" spans="2:4" ht="15.75" thickBot="1" x14ac:dyDescent="0.3">
      <c r="B75" s="111">
        <v>2</v>
      </c>
      <c r="C75" s="137" t="s">
        <v>43</v>
      </c>
      <c r="D75" s="137" t="s">
        <v>12</v>
      </c>
    </row>
    <row r="76" spans="2:4" ht="15.75" thickBot="1" x14ac:dyDescent="0.3">
      <c r="B76" s="113" t="s">
        <v>26</v>
      </c>
      <c r="C76" s="114" t="s">
        <v>216</v>
      </c>
      <c r="D76" s="117">
        <f>D46</f>
        <v>427.46569444444441</v>
      </c>
    </row>
    <row r="77" spans="2:4" ht="15.75" thickBot="1" x14ac:dyDescent="0.3">
      <c r="B77" s="113" t="s">
        <v>29</v>
      </c>
      <c r="C77" s="114" t="s">
        <v>217</v>
      </c>
      <c r="D77" s="117">
        <f>E60</f>
        <v>966.31673555555562</v>
      </c>
    </row>
    <row r="78" spans="2:4" ht="15.75" thickBot="1" x14ac:dyDescent="0.3">
      <c r="B78" s="113" t="s">
        <v>40</v>
      </c>
      <c r="C78" s="114" t="s">
        <v>280</v>
      </c>
      <c r="D78" s="115">
        <f>D70</f>
        <v>477.18149999999997</v>
      </c>
    </row>
    <row r="79" spans="2:4" ht="15.75" thickBot="1" x14ac:dyDescent="0.3">
      <c r="B79" s="204" t="s">
        <v>1</v>
      </c>
      <c r="C79" s="205"/>
      <c r="D79" s="155">
        <f>SUM(D76:D78)</f>
        <v>1870.9639299999999</v>
      </c>
    </row>
    <row r="80" spans="2:4" x14ac:dyDescent="0.25">
      <c r="B80" s="2"/>
    </row>
    <row r="82" spans="2:9" x14ac:dyDescent="0.25">
      <c r="B82" s="203" t="s">
        <v>44</v>
      </c>
      <c r="C82" s="203"/>
      <c r="D82" s="203"/>
    </row>
    <row r="83" spans="2:9" ht="15.75" thickBot="1" x14ac:dyDescent="0.3"/>
    <row r="84" spans="2:9" ht="15.75" thickBot="1" x14ac:dyDescent="0.3">
      <c r="B84" s="111">
        <v>3</v>
      </c>
      <c r="C84" s="137" t="s">
        <v>45</v>
      </c>
      <c r="D84" s="137" t="s">
        <v>12</v>
      </c>
    </row>
    <row r="85" spans="2:9" ht="30.75" thickBot="1" x14ac:dyDescent="0.3">
      <c r="B85" s="113" t="s">
        <v>13</v>
      </c>
      <c r="C85" s="123" t="s">
        <v>327</v>
      </c>
      <c r="D85" s="124">
        <f>(D37+D46+E59)/12</f>
        <v>236.32746250000002</v>
      </c>
      <c r="E85" s="119">
        <v>5.2343130545706223E-3</v>
      </c>
      <c r="F85" s="93">
        <v>2198.4</v>
      </c>
    </row>
    <row r="86" spans="2:9" ht="15.75" thickBot="1" x14ac:dyDescent="0.3">
      <c r="B86" s="113" t="s">
        <v>15</v>
      </c>
      <c r="C86" s="126" t="s">
        <v>281</v>
      </c>
      <c r="D86" s="124">
        <f>D85*0.08</f>
        <v>18.906197000000002</v>
      </c>
      <c r="E86" s="119">
        <v>4.1874504436564982E-4</v>
      </c>
      <c r="F86" s="93">
        <v>427.47</v>
      </c>
    </row>
    <row r="87" spans="2:9" ht="15.75" thickBot="1" x14ac:dyDescent="0.3">
      <c r="B87" s="113" t="s">
        <v>16</v>
      </c>
      <c r="C87" s="126" t="s">
        <v>282</v>
      </c>
      <c r="D87" s="124">
        <f>D86*0.5</f>
        <v>9.4530985000000012</v>
      </c>
      <c r="E87" s="119">
        <v>2.0678767622995051E-4</v>
      </c>
      <c r="F87" s="93">
        <v>966.32</v>
      </c>
    </row>
    <row r="88" spans="2:9" ht="45.75" thickBot="1" x14ac:dyDescent="0.3">
      <c r="B88" s="113" t="s">
        <v>18</v>
      </c>
      <c r="C88" s="123" t="s">
        <v>283</v>
      </c>
      <c r="D88" s="124">
        <f>(((D37+D46+E60)/30)*7)/12</f>
        <v>69.847894472222222</v>
      </c>
      <c r="E88" s="119">
        <v>2.1389600260035509E-2</v>
      </c>
      <c r="F88" s="93">
        <f>SUM(F85:F87)</f>
        <v>3592.19</v>
      </c>
    </row>
    <row r="89" spans="2:9" ht="18" customHeight="1" thickBot="1" x14ac:dyDescent="0.3">
      <c r="B89" s="113" t="s">
        <v>19</v>
      </c>
      <c r="C89" s="123" t="s">
        <v>284</v>
      </c>
      <c r="D89" s="124">
        <f>D88*0.368</f>
        <v>25.704025165777779</v>
      </c>
      <c r="E89" s="119">
        <v>7.8713728956930663E-3</v>
      </c>
      <c r="F89" s="93">
        <f>F88/30</f>
        <v>119.73966666666666</v>
      </c>
    </row>
    <row r="90" spans="2:9" ht="15.75" thickBot="1" x14ac:dyDescent="0.3">
      <c r="B90" s="113" t="s">
        <v>21</v>
      </c>
      <c r="C90" s="123" t="s">
        <v>285</v>
      </c>
      <c r="D90" s="128">
        <f>((D88*0.08))*0.5</f>
        <v>2.7939157788888891</v>
      </c>
      <c r="E90" s="119">
        <v>8.5299916444854594E-4</v>
      </c>
      <c r="F90" s="93">
        <f>F89*7</f>
        <v>838.17766666666671</v>
      </c>
      <c r="G90" s="119"/>
      <c r="H90" s="119"/>
      <c r="I90" s="119"/>
    </row>
    <row r="91" spans="2:9" ht="15.75" thickBot="1" x14ac:dyDescent="0.3">
      <c r="B91" s="204" t="s">
        <v>1</v>
      </c>
      <c r="C91" s="205"/>
      <c r="D91" s="157">
        <f>SUM(D85:D90)</f>
        <v>363.03259341688891</v>
      </c>
      <c r="E91" s="119"/>
      <c r="F91" s="93">
        <f>F90/12</f>
        <v>69.848138888888897</v>
      </c>
      <c r="H91" s="119"/>
      <c r="I91" s="119"/>
    </row>
    <row r="92" spans="2:9" x14ac:dyDescent="0.25">
      <c r="H92" s="119"/>
      <c r="I92" s="119"/>
    </row>
    <row r="94" spans="2:9" x14ac:dyDescent="0.25">
      <c r="B94" s="203" t="s">
        <v>46</v>
      </c>
      <c r="C94" s="203"/>
      <c r="D94" s="203"/>
    </row>
    <row r="96" spans="2:9" x14ac:dyDescent="0.25">
      <c r="H96" s="119"/>
      <c r="I96" s="119"/>
    </row>
    <row r="97" spans="2:8" x14ac:dyDescent="0.25">
      <c r="B97" s="206" t="s">
        <v>47</v>
      </c>
      <c r="C97" s="206"/>
      <c r="D97" s="206"/>
      <c r="H97" s="119"/>
    </row>
    <row r="98" spans="2:8" ht="15.75" thickBot="1" x14ac:dyDescent="0.3">
      <c r="B98" s="118"/>
    </row>
    <row r="99" spans="2:8" ht="15.75" thickBot="1" x14ac:dyDescent="0.3">
      <c r="B99" s="111" t="s">
        <v>48</v>
      </c>
      <c r="C99" s="137" t="s">
        <v>49</v>
      </c>
      <c r="D99" s="137" t="s">
        <v>12</v>
      </c>
    </row>
    <row r="100" spans="2:8" ht="15.75" thickBot="1" x14ac:dyDescent="0.3">
      <c r="B100" s="113" t="s">
        <v>13</v>
      </c>
      <c r="C100" s="114" t="s">
        <v>106</v>
      </c>
      <c r="D100" s="115"/>
    </row>
    <row r="101" spans="2:8" ht="15.75" thickBot="1" x14ac:dyDescent="0.3">
      <c r="B101" s="113" t="s">
        <v>15</v>
      </c>
      <c r="C101" s="114" t="s">
        <v>107</v>
      </c>
      <c r="D101" s="115">
        <v>115.29</v>
      </c>
      <c r="E101" s="119">
        <v>1.2446033263090147E-2</v>
      </c>
    </row>
    <row r="102" spans="2:8" ht="15.75" thickBot="1" x14ac:dyDescent="0.3">
      <c r="B102" s="113" t="s">
        <v>16</v>
      </c>
      <c r="C102" s="114" t="s">
        <v>241</v>
      </c>
      <c r="D102" s="115">
        <v>1.97</v>
      </c>
      <c r="E102" s="119">
        <v>3.1664362922711174E-4</v>
      </c>
    </row>
    <row r="103" spans="2:8" ht="15.75" thickBot="1" x14ac:dyDescent="0.3">
      <c r="B103" s="113" t="s">
        <v>18</v>
      </c>
      <c r="C103" s="114" t="s">
        <v>108</v>
      </c>
      <c r="D103" s="115">
        <v>4.22</v>
      </c>
      <c r="E103" s="119">
        <v>4.9112073104613243E-4</v>
      </c>
    </row>
    <row r="104" spans="2:8" ht="15.75" thickBot="1" x14ac:dyDescent="0.3">
      <c r="B104" s="113" t="s">
        <v>19</v>
      </c>
      <c r="C104" s="114" t="s">
        <v>109</v>
      </c>
      <c r="D104" s="115">
        <v>1.52</v>
      </c>
      <c r="E104" s="119">
        <v>1.0597868406784963E-3</v>
      </c>
    </row>
    <row r="105" spans="2:8" ht="15.75" thickBot="1" x14ac:dyDescent="0.3">
      <c r="B105" s="113" t="s">
        <v>21</v>
      </c>
      <c r="C105" s="114" t="s">
        <v>110</v>
      </c>
      <c r="D105" s="116"/>
    </row>
    <row r="106" spans="2:8" ht="15.75" thickBot="1" x14ac:dyDescent="0.3">
      <c r="B106" s="204" t="s">
        <v>38</v>
      </c>
      <c r="C106" s="205"/>
      <c r="D106" s="158">
        <f>SUM(D100:D105)</f>
        <v>123</v>
      </c>
    </row>
    <row r="108" spans="2:8" x14ac:dyDescent="0.25">
      <c r="E108" s="174"/>
    </row>
    <row r="109" spans="2:8" x14ac:dyDescent="0.25">
      <c r="B109" s="206" t="s">
        <v>112</v>
      </c>
      <c r="C109" s="206"/>
      <c r="D109" s="206"/>
    </row>
    <row r="110" spans="2:8" ht="15.75" thickBot="1" x14ac:dyDescent="0.3">
      <c r="B110" s="118"/>
    </row>
    <row r="111" spans="2:8" ht="15.75" thickBot="1" x14ac:dyDescent="0.3">
      <c r="B111" s="111" t="s">
        <v>50</v>
      </c>
      <c r="C111" s="137" t="s">
        <v>111</v>
      </c>
      <c r="D111" s="137" t="s">
        <v>12</v>
      </c>
    </row>
    <row r="112" spans="2:8" ht="15.75" thickBot="1" x14ac:dyDescent="0.3">
      <c r="B112" s="113" t="s">
        <v>13</v>
      </c>
      <c r="C112" s="122" t="s">
        <v>265</v>
      </c>
      <c r="D112" s="115">
        <v>221.56</v>
      </c>
    </row>
    <row r="113" spans="2:4" ht="15.75" thickBot="1" x14ac:dyDescent="0.3">
      <c r="B113" s="204" t="s">
        <v>1</v>
      </c>
      <c r="C113" s="205"/>
      <c r="D113" s="158">
        <f>SUM(D112)</f>
        <v>221.56</v>
      </c>
    </row>
    <row r="116" spans="2:4" x14ac:dyDescent="0.25">
      <c r="B116" s="206" t="s">
        <v>51</v>
      </c>
      <c r="C116" s="206"/>
      <c r="D116" s="206"/>
    </row>
    <row r="117" spans="2:4" ht="15.75" thickBot="1" x14ac:dyDescent="0.3">
      <c r="B117" s="118"/>
    </row>
    <row r="118" spans="2:4" ht="15.75" thickBot="1" x14ac:dyDescent="0.3">
      <c r="B118" s="111">
        <v>4</v>
      </c>
      <c r="C118" s="137" t="s">
        <v>52</v>
      </c>
      <c r="D118" s="137" t="s">
        <v>12</v>
      </c>
    </row>
    <row r="119" spans="2:4" ht="15.75" thickBot="1" x14ac:dyDescent="0.3">
      <c r="B119" s="113" t="s">
        <v>48</v>
      </c>
      <c r="C119" s="114" t="s">
        <v>261</v>
      </c>
      <c r="D119" s="115">
        <f>D106</f>
        <v>123</v>
      </c>
    </row>
    <row r="120" spans="2:4" ht="15.75" thickBot="1" x14ac:dyDescent="0.3">
      <c r="B120" s="113" t="s">
        <v>50</v>
      </c>
      <c r="C120" s="130" t="s">
        <v>262</v>
      </c>
      <c r="D120" s="131">
        <f>D113</f>
        <v>221.56</v>
      </c>
    </row>
    <row r="121" spans="2:4" ht="15.75" thickBot="1" x14ac:dyDescent="0.3">
      <c r="B121" s="204" t="s">
        <v>1</v>
      </c>
      <c r="C121" s="205"/>
      <c r="D121" s="158">
        <f>SUM(D119:D120)</f>
        <v>344.56</v>
      </c>
    </row>
    <row r="124" spans="2:4" x14ac:dyDescent="0.25">
      <c r="B124" s="203" t="s">
        <v>53</v>
      </c>
      <c r="C124" s="203"/>
      <c r="D124" s="203"/>
    </row>
    <row r="125" spans="2:4" ht="15.75" thickBot="1" x14ac:dyDescent="0.3"/>
    <row r="126" spans="2:4" ht="15.75" thickBot="1" x14ac:dyDescent="0.3">
      <c r="B126" s="195">
        <v>5</v>
      </c>
      <c r="C126" s="196" t="s">
        <v>5</v>
      </c>
      <c r="D126" s="197" t="s">
        <v>12</v>
      </c>
    </row>
    <row r="127" spans="2:4" ht="15.75" thickBot="1" x14ac:dyDescent="0.3">
      <c r="B127" s="198" t="s">
        <v>13</v>
      </c>
      <c r="C127" s="199" t="s">
        <v>54</v>
      </c>
      <c r="D127" s="200">
        <f>Uniformes!H15</f>
        <v>70.569444444444443</v>
      </c>
    </row>
    <row r="128" spans="2:4" ht="15.75" thickBot="1" x14ac:dyDescent="0.3">
      <c r="B128" s="198" t="s">
        <v>15</v>
      </c>
      <c r="C128" s="199" t="s">
        <v>144</v>
      </c>
      <c r="D128" s="200">
        <f>'Material de uso individual'!H10</f>
        <v>37.958333333333336</v>
      </c>
    </row>
    <row r="129" spans="2:5" ht="15.75" thickBot="1" x14ac:dyDescent="0.3">
      <c r="B129" s="198" t="s">
        <v>16</v>
      </c>
      <c r="C129" s="199" t="s">
        <v>145</v>
      </c>
      <c r="D129" s="200">
        <f>'Masterial de uso coletivo'!H7</f>
        <v>10</v>
      </c>
    </row>
    <row r="130" spans="2:5" ht="15.75" thickBot="1" x14ac:dyDescent="0.3">
      <c r="B130" s="198" t="s">
        <v>18</v>
      </c>
      <c r="C130" s="199" t="s">
        <v>146</v>
      </c>
      <c r="D130" s="200">
        <f>'Equipamentos-Depreciação'!Q23</f>
        <v>338.85209852216752</v>
      </c>
    </row>
    <row r="131" spans="2:5" ht="15.75" thickBot="1" x14ac:dyDescent="0.3">
      <c r="B131" s="204" t="s">
        <v>38</v>
      </c>
      <c r="C131" s="205"/>
      <c r="D131" s="155">
        <f>SUM(D127:D130)</f>
        <v>457.37987629994529</v>
      </c>
    </row>
    <row r="134" spans="2:5" x14ac:dyDescent="0.25">
      <c r="B134" s="203" t="s">
        <v>55</v>
      </c>
      <c r="C134" s="203"/>
      <c r="D134" s="203"/>
    </row>
    <row r="135" spans="2:5" ht="15.75" thickBot="1" x14ac:dyDescent="0.3"/>
    <row r="136" spans="2:5" ht="15.75" thickBot="1" x14ac:dyDescent="0.3">
      <c r="B136" s="111">
        <v>6</v>
      </c>
      <c r="C136" s="132" t="s">
        <v>6</v>
      </c>
      <c r="D136" s="137" t="s">
        <v>31</v>
      </c>
      <c r="E136" s="137" t="s">
        <v>12</v>
      </c>
    </row>
    <row r="137" spans="2:5" ht="15.75" thickBot="1" x14ac:dyDescent="0.3">
      <c r="B137" s="113" t="s">
        <v>13</v>
      </c>
      <c r="C137" s="114" t="s">
        <v>7</v>
      </c>
      <c r="D137" s="133">
        <v>0.06</v>
      </c>
      <c r="E137" s="115">
        <f>(D131+D121+D91+D79+D37)*D137</f>
        <v>314.05988398300997</v>
      </c>
    </row>
    <row r="138" spans="2:5" ht="15.75" thickBot="1" x14ac:dyDescent="0.3">
      <c r="B138" s="113" t="s">
        <v>15</v>
      </c>
      <c r="C138" s="114" t="s">
        <v>9</v>
      </c>
      <c r="D138" s="133">
        <v>6.7900000000000002E-2</v>
      </c>
      <c r="E138" s="115">
        <f>(D131+D121+D91+D79+D37+E137)*D138</f>
        <v>376.7357681632194</v>
      </c>
    </row>
    <row r="139" spans="2:5" ht="15.75" thickBot="1" x14ac:dyDescent="0.3">
      <c r="B139" s="113" t="s">
        <v>16</v>
      </c>
      <c r="C139" s="114" t="s">
        <v>8</v>
      </c>
      <c r="D139" s="133"/>
      <c r="E139" s="116"/>
    </row>
    <row r="140" spans="2:5" ht="15.75" thickBot="1" x14ac:dyDescent="0.3">
      <c r="B140" s="113"/>
      <c r="C140" s="114" t="s">
        <v>56</v>
      </c>
      <c r="D140" s="133"/>
      <c r="E140" s="117">
        <f>D156*0.0365</f>
        <v>236.745634803505</v>
      </c>
    </row>
    <row r="141" spans="2:5" ht="15.75" thickBot="1" x14ac:dyDescent="0.3">
      <c r="B141" s="113"/>
      <c r="C141" s="114" t="s">
        <v>57</v>
      </c>
      <c r="D141" s="133"/>
      <c r="E141" s="115"/>
    </row>
    <row r="142" spans="2:5" ht="15.75" thickBot="1" x14ac:dyDescent="0.3">
      <c r="B142" s="113"/>
      <c r="C142" s="114" t="s">
        <v>58</v>
      </c>
      <c r="D142" s="133"/>
      <c r="E142" s="115">
        <f>D156*0.05</f>
        <v>324.30908877192473</v>
      </c>
    </row>
    <row r="143" spans="2:5" ht="15.75" thickBot="1" x14ac:dyDescent="0.3">
      <c r="B143" s="204" t="s">
        <v>38</v>
      </c>
      <c r="C143" s="205"/>
      <c r="D143" s="192"/>
      <c r="E143" s="155">
        <f>SUM(E137:E142)</f>
        <v>1251.850375721659</v>
      </c>
    </row>
    <row r="146" spans="2:4" x14ac:dyDescent="0.25">
      <c r="B146" s="203" t="s">
        <v>59</v>
      </c>
      <c r="C146" s="203"/>
      <c r="D146" s="203"/>
    </row>
    <row r="147" spans="2:4" ht="15.75" thickBot="1" x14ac:dyDescent="0.3"/>
    <row r="148" spans="2:4" ht="15.75" thickBot="1" x14ac:dyDescent="0.3">
      <c r="B148" s="111"/>
      <c r="C148" s="137" t="s">
        <v>60</v>
      </c>
      <c r="D148" s="137" t="s">
        <v>12</v>
      </c>
    </row>
    <row r="149" spans="2:4" ht="15.75" thickBot="1" x14ac:dyDescent="0.3">
      <c r="B149" s="134" t="s">
        <v>13</v>
      </c>
      <c r="C149" s="114" t="s">
        <v>10</v>
      </c>
      <c r="D149" s="135">
        <f>D37</f>
        <v>2198.395</v>
      </c>
    </row>
    <row r="150" spans="2:4" ht="15.75" thickBot="1" x14ac:dyDescent="0.3">
      <c r="B150" s="134" t="s">
        <v>15</v>
      </c>
      <c r="C150" s="114" t="s">
        <v>24</v>
      </c>
      <c r="D150" s="135">
        <f>D79</f>
        <v>1870.9639299999999</v>
      </c>
    </row>
    <row r="151" spans="2:4" ht="15.75" thickBot="1" x14ac:dyDescent="0.3">
      <c r="B151" s="134" t="s">
        <v>16</v>
      </c>
      <c r="C151" s="114" t="s">
        <v>44</v>
      </c>
      <c r="D151" s="135">
        <f>D91</f>
        <v>363.03259341688891</v>
      </c>
    </row>
    <row r="152" spans="2:4" ht="15.75" thickBot="1" x14ac:dyDescent="0.3">
      <c r="B152" s="134" t="s">
        <v>18</v>
      </c>
      <c r="C152" s="114" t="s">
        <v>46</v>
      </c>
      <c r="D152" s="135">
        <f>D121</f>
        <v>344.56</v>
      </c>
    </row>
    <row r="153" spans="2:4" ht="15.75" thickBot="1" x14ac:dyDescent="0.3">
      <c r="B153" s="134" t="s">
        <v>19</v>
      </c>
      <c r="C153" s="114" t="s">
        <v>53</v>
      </c>
      <c r="D153" s="135">
        <f>D131</f>
        <v>457.37987629994529</v>
      </c>
    </row>
    <row r="154" spans="2:4" ht="15.75" thickBot="1" x14ac:dyDescent="0.3">
      <c r="B154" s="225" t="s">
        <v>61</v>
      </c>
      <c r="C154" s="226"/>
      <c r="D154" s="135">
        <f>SUM(D149:D153)</f>
        <v>5234.3313997168343</v>
      </c>
    </row>
    <row r="155" spans="2:4" ht="15.75" thickBot="1" x14ac:dyDescent="0.3">
      <c r="B155" s="134" t="s">
        <v>21</v>
      </c>
      <c r="C155" s="114" t="s">
        <v>62</v>
      </c>
      <c r="D155" s="135">
        <f>E143</f>
        <v>1251.850375721659</v>
      </c>
    </row>
    <row r="156" spans="2:4" ht="15.75" thickBot="1" x14ac:dyDescent="0.3">
      <c r="B156" s="204" t="s">
        <v>63</v>
      </c>
      <c r="C156" s="205"/>
      <c r="D156" s="185">
        <f>(D154+E137+E138)/0.9135</f>
        <v>6486.1817754384938</v>
      </c>
    </row>
    <row r="157" spans="2:4" ht="15.75" thickBot="1" x14ac:dyDescent="0.3">
      <c r="C157" s="164" t="s">
        <v>113</v>
      </c>
      <c r="D157" s="165">
        <f>D156*2</f>
        <v>12972.363550876988</v>
      </c>
    </row>
    <row r="160" spans="2:4" x14ac:dyDescent="0.25">
      <c r="B160" s="203" t="s">
        <v>317</v>
      </c>
      <c r="C160" s="203"/>
      <c r="D160" s="203"/>
    </row>
    <row r="161" spans="2:4" ht="15.75" thickBot="1" x14ac:dyDescent="0.3"/>
    <row r="162" spans="2:4" ht="15.75" thickBot="1" x14ac:dyDescent="0.3">
      <c r="B162" s="190"/>
      <c r="C162" s="191" t="s">
        <v>318</v>
      </c>
      <c r="D162" s="188" t="s">
        <v>12</v>
      </c>
    </row>
    <row r="163" spans="2:4" ht="15.75" thickBot="1" x14ac:dyDescent="0.3">
      <c r="B163" s="184" t="s">
        <v>13</v>
      </c>
      <c r="C163" s="186" t="s">
        <v>319</v>
      </c>
      <c r="D163" s="185">
        <f>D157</f>
        <v>12972.363550876988</v>
      </c>
    </row>
    <row r="164" spans="2:4" ht="15.75" thickBot="1" x14ac:dyDescent="0.3">
      <c r="B164" s="184" t="s">
        <v>15</v>
      </c>
      <c r="C164" s="186" t="s">
        <v>320</v>
      </c>
      <c r="D164" s="185">
        <f>D163*D18</f>
        <v>25944.727101753975</v>
      </c>
    </row>
    <row r="165" spans="2:4" ht="15.75" thickBot="1" x14ac:dyDescent="0.3">
      <c r="B165" s="184" t="s">
        <v>16</v>
      </c>
      <c r="C165" s="186" t="s">
        <v>321</v>
      </c>
      <c r="D165" s="185">
        <f>D164*12</f>
        <v>311336.7252210477</v>
      </c>
    </row>
  </sheetData>
  <mergeCells count="38">
    <mergeCell ref="B1:E1"/>
    <mergeCell ref="B2:E2"/>
    <mergeCell ref="B131:C131"/>
    <mergeCell ref="B124:D124"/>
    <mergeCell ref="B143:C143"/>
    <mergeCell ref="B134:D134"/>
    <mergeCell ref="B70:C70"/>
    <mergeCell ref="B63:D63"/>
    <mergeCell ref="B79:C79"/>
    <mergeCell ref="B73:D73"/>
    <mergeCell ref="B91:C91"/>
    <mergeCell ref="B82:D82"/>
    <mergeCell ref="B37:C37"/>
    <mergeCell ref="B27:D27"/>
    <mergeCell ref="B46:C46"/>
    <mergeCell ref="B39:D39"/>
    <mergeCell ref="B106:C106"/>
    <mergeCell ref="B97:D97"/>
    <mergeCell ref="B113:C113"/>
    <mergeCell ref="B109:D109"/>
    <mergeCell ref="B121:C121"/>
    <mergeCell ref="B116:D116"/>
    <mergeCell ref="B3:E3"/>
    <mergeCell ref="B160:D160"/>
    <mergeCell ref="B4:E4"/>
    <mergeCell ref="B41:D41"/>
    <mergeCell ref="B60:C60"/>
    <mergeCell ref="B49:E49"/>
    <mergeCell ref="B154:C154"/>
    <mergeCell ref="B6:D6"/>
    <mergeCell ref="B7:D7"/>
    <mergeCell ref="B8:D8"/>
    <mergeCell ref="B9:D9"/>
    <mergeCell ref="B16:D16"/>
    <mergeCell ref="B20:D20"/>
    <mergeCell ref="B156:C156"/>
    <mergeCell ref="B146:D146"/>
    <mergeCell ref="B94:D94"/>
  </mergeCells>
  <pageMargins left="0.511811024" right="0.511811024" top="0.78740157499999996" bottom="0.78740157499999996" header="0.31496062000000002" footer="0.31496062000000002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6"/>
  <sheetViews>
    <sheetView showGridLines="0" zoomScale="110" zoomScaleNormal="110" workbookViewId="0">
      <selection activeCell="C8" sqref="C8"/>
    </sheetView>
  </sheetViews>
  <sheetFormatPr defaultRowHeight="15" x14ac:dyDescent="0.25"/>
  <cols>
    <col min="3" max="3" width="52.7109375" customWidth="1"/>
    <col min="5" max="5" width="15" customWidth="1"/>
    <col min="6" max="6" width="10.140625" bestFit="1" customWidth="1"/>
    <col min="8" max="8" width="22.5703125" customWidth="1"/>
    <col min="9" max="9" width="13.7109375" customWidth="1"/>
    <col min="10" max="10" width="10.7109375" bestFit="1" customWidth="1"/>
    <col min="12" max="12" width="9.85546875" customWidth="1"/>
    <col min="13" max="13" width="13.5703125" customWidth="1"/>
  </cols>
  <sheetData>
    <row r="3" spans="2:10" ht="18.75" x14ac:dyDescent="0.25">
      <c r="B3" s="227" t="s">
        <v>165</v>
      </c>
      <c r="C3" s="228"/>
      <c r="D3" s="228"/>
      <c r="E3" s="228"/>
      <c r="F3" s="228"/>
      <c r="G3" s="228"/>
      <c r="H3" s="229"/>
    </row>
    <row r="4" spans="2:10" ht="30" x14ac:dyDescent="0.25">
      <c r="B4" s="47" t="s">
        <v>79</v>
      </c>
      <c r="C4" s="47" t="s">
        <v>105</v>
      </c>
      <c r="D4" s="47" t="s">
        <v>80</v>
      </c>
      <c r="E4" s="48" t="s">
        <v>85</v>
      </c>
      <c r="F4" s="49" t="s">
        <v>84</v>
      </c>
      <c r="G4" s="50" t="s">
        <v>93</v>
      </c>
      <c r="H4" s="51" t="s">
        <v>92</v>
      </c>
    </row>
    <row r="5" spans="2:10" ht="30" x14ac:dyDescent="0.25">
      <c r="B5" s="9">
        <v>1</v>
      </c>
      <c r="C5" s="24" t="s">
        <v>104</v>
      </c>
      <c r="D5" s="9" t="s">
        <v>80</v>
      </c>
      <c r="E5" s="12">
        <v>65</v>
      </c>
      <c r="F5" s="7">
        <v>9</v>
      </c>
      <c r="G5" s="7">
        <v>2</v>
      </c>
      <c r="H5" s="12">
        <f t="shared" ref="H5:H14" si="0">(E5/F5)*G5</f>
        <v>14.444444444444445</v>
      </c>
      <c r="I5" s="28"/>
      <c r="J5" s="28"/>
    </row>
    <row r="6" spans="2:10" ht="45" x14ac:dyDescent="0.25">
      <c r="B6" s="9">
        <v>2</v>
      </c>
      <c r="C6" s="24" t="s">
        <v>103</v>
      </c>
      <c r="D6" s="9" t="s">
        <v>80</v>
      </c>
      <c r="E6" s="12">
        <v>56</v>
      </c>
      <c r="F6" s="7">
        <v>9</v>
      </c>
      <c r="G6" s="7">
        <v>2</v>
      </c>
      <c r="H6" s="12">
        <f t="shared" si="0"/>
        <v>12.444444444444445</v>
      </c>
      <c r="I6" s="28"/>
      <c r="J6" s="28"/>
    </row>
    <row r="7" spans="2:10" ht="30" x14ac:dyDescent="0.25">
      <c r="B7" s="9">
        <v>3</v>
      </c>
      <c r="C7" s="24" t="s">
        <v>102</v>
      </c>
      <c r="D7" s="9" t="s">
        <v>100</v>
      </c>
      <c r="E7" s="12">
        <v>12</v>
      </c>
      <c r="F7" s="7">
        <v>9</v>
      </c>
      <c r="G7" s="7">
        <v>3</v>
      </c>
      <c r="H7" s="12">
        <f t="shared" si="0"/>
        <v>4</v>
      </c>
      <c r="I7" s="28"/>
      <c r="J7" s="28"/>
    </row>
    <row r="8" spans="2:10" ht="90" x14ac:dyDescent="0.25">
      <c r="B8" s="9">
        <v>4</v>
      </c>
      <c r="C8" s="24" t="s">
        <v>101</v>
      </c>
      <c r="D8" s="9" t="s">
        <v>100</v>
      </c>
      <c r="E8" s="12">
        <v>90</v>
      </c>
      <c r="F8" s="7">
        <v>9</v>
      </c>
      <c r="G8" s="7">
        <v>2</v>
      </c>
      <c r="H8" s="12">
        <f t="shared" si="0"/>
        <v>20</v>
      </c>
      <c r="I8" s="28"/>
      <c r="J8" s="28"/>
    </row>
    <row r="9" spans="2:10" ht="30" x14ac:dyDescent="0.25">
      <c r="B9" s="9">
        <v>5</v>
      </c>
      <c r="C9" s="24" t="s">
        <v>99</v>
      </c>
      <c r="D9" s="9" t="s">
        <v>80</v>
      </c>
      <c r="E9" s="12">
        <v>16.899999999999999</v>
      </c>
      <c r="F9" s="7">
        <v>9</v>
      </c>
      <c r="G9" s="7">
        <v>2</v>
      </c>
      <c r="H9" s="12">
        <f t="shared" si="0"/>
        <v>3.7555555555555551</v>
      </c>
      <c r="I9" s="28"/>
      <c r="J9" s="28"/>
    </row>
    <row r="10" spans="2:10" x14ac:dyDescent="0.25">
      <c r="B10" s="9">
        <v>6</v>
      </c>
      <c r="C10" s="24" t="s">
        <v>98</v>
      </c>
      <c r="D10" s="9" t="s">
        <v>80</v>
      </c>
      <c r="E10" s="12">
        <v>120</v>
      </c>
      <c r="F10" s="7">
        <v>12</v>
      </c>
      <c r="G10" s="7">
        <v>1</v>
      </c>
      <c r="H10" s="12">
        <f t="shared" si="0"/>
        <v>10</v>
      </c>
      <c r="I10" s="28"/>
      <c r="J10" s="28"/>
    </row>
    <row r="11" spans="2:10" ht="30" x14ac:dyDescent="0.25">
      <c r="B11" s="9">
        <v>7</v>
      </c>
      <c r="C11" s="24" t="s">
        <v>97</v>
      </c>
      <c r="D11" s="9" t="s">
        <v>80</v>
      </c>
      <c r="E11" s="12">
        <v>24.9</v>
      </c>
      <c r="F11" s="7">
        <v>12</v>
      </c>
      <c r="G11" s="7">
        <v>1</v>
      </c>
      <c r="H11" s="12">
        <f t="shared" si="0"/>
        <v>2.0749999999999997</v>
      </c>
      <c r="I11" s="28"/>
      <c r="J11" s="28"/>
    </row>
    <row r="12" spans="2:10" ht="60" x14ac:dyDescent="0.25">
      <c r="B12" s="9">
        <v>8</v>
      </c>
      <c r="C12" s="24" t="s">
        <v>96</v>
      </c>
      <c r="D12" s="9" t="s">
        <v>80</v>
      </c>
      <c r="E12" s="6">
        <v>70</v>
      </c>
      <c r="F12" s="7">
        <v>24</v>
      </c>
      <c r="G12" s="7">
        <v>1</v>
      </c>
      <c r="H12" s="12">
        <f t="shared" si="0"/>
        <v>2.9166666666666665</v>
      </c>
      <c r="I12" s="28"/>
      <c r="J12" s="28"/>
    </row>
    <row r="13" spans="2:10" ht="30" x14ac:dyDescent="0.25">
      <c r="B13" s="9">
        <v>9</v>
      </c>
      <c r="C13" s="24" t="s">
        <v>95</v>
      </c>
      <c r="D13" s="9" t="s">
        <v>80</v>
      </c>
      <c r="E13" s="12">
        <v>8</v>
      </c>
      <c r="F13" s="7">
        <v>24</v>
      </c>
      <c r="G13" s="7">
        <v>1</v>
      </c>
      <c r="H13" s="12">
        <f t="shared" si="0"/>
        <v>0.33333333333333331</v>
      </c>
      <c r="I13" s="28"/>
      <c r="J13" s="28"/>
    </row>
    <row r="14" spans="2:10" x14ac:dyDescent="0.25">
      <c r="B14" s="9">
        <v>10</v>
      </c>
      <c r="C14" s="27" t="s">
        <v>94</v>
      </c>
      <c r="D14" s="26" t="s">
        <v>80</v>
      </c>
      <c r="E14" s="25">
        <v>18</v>
      </c>
      <c r="F14" s="23">
        <v>30</v>
      </c>
      <c r="G14" s="23">
        <v>1</v>
      </c>
      <c r="H14" s="12">
        <f t="shared" si="0"/>
        <v>0.6</v>
      </c>
      <c r="I14" s="28"/>
      <c r="J14" s="28"/>
    </row>
    <row r="15" spans="2:10" x14ac:dyDescent="0.25">
      <c r="B15" s="10"/>
      <c r="C15" s="20" t="s">
        <v>87</v>
      </c>
      <c r="D15" s="18"/>
      <c r="E15" s="19"/>
      <c r="F15" s="18"/>
      <c r="G15" s="17"/>
      <c r="H15" s="16">
        <f>SUM(H5:H14)</f>
        <v>70.569444444444443</v>
      </c>
    </row>
    <row r="16" spans="2:10" x14ac:dyDescent="0.25">
      <c r="B16" s="10"/>
      <c r="C16" s="2"/>
      <c r="D16" s="2"/>
      <c r="E16" s="22"/>
      <c r="F16" s="2"/>
      <c r="G16" s="2"/>
      <c r="H16" s="22"/>
    </row>
  </sheetData>
  <mergeCells count="1">
    <mergeCell ref="B3:H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showGridLines="0" workbookViewId="0">
      <selection activeCell="B5" sqref="B5"/>
    </sheetView>
  </sheetViews>
  <sheetFormatPr defaultRowHeight="15" x14ac:dyDescent="0.25"/>
  <cols>
    <col min="3" max="3" width="52.7109375" customWidth="1"/>
    <col min="5" max="5" width="15" customWidth="1"/>
    <col min="6" max="6" width="14.42578125" customWidth="1"/>
    <col min="8" max="8" width="22.5703125" customWidth="1"/>
    <col min="9" max="9" width="13.7109375" customWidth="1"/>
    <col min="10" max="10" width="10.7109375" bestFit="1" customWidth="1"/>
    <col min="12" max="12" width="9.85546875" customWidth="1"/>
    <col min="13" max="13" width="13.5703125" customWidth="1"/>
  </cols>
  <sheetData>
    <row r="2" spans="2:8" x14ac:dyDescent="0.25">
      <c r="B2" s="10"/>
      <c r="C2" s="2"/>
      <c r="D2" s="2"/>
      <c r="E2" s="22"/>
      <c r="F2" s="2"/>
      <c r="G2" s="2"/>
      <c r="H2" s="22"/>
    </row>
    <row r="3" spans="2:8" x14ac:dyDescent="0.25">
      <c r="B3" s="10"/>
      <c r="C3" s="2"/>
      <c r="D3" s="2"/>
      <c r="E3" s="22"/>
      <c r="F3" s="2"/>
      <c r="G3" s="2"/>
      <c r="H3" s="22"/>
    </row>
    <row r="4" spans="2:8" ht="18.75" x14ac:dyDescent="0.25">
      <c r="B4" s="227" t="s">
        <v>164</v>
      </c>
      <c r="C4" s="228"/>
      <c r="D4" s="228"/>
      <c r="E4" s="228"/>
      <c r="F4" s="228"/>
      <c r="G4" s="228"/>
      <c r="H4" s="229"/>
    </row>
    <row r="5" spans="2:8" ht="30" x14ac:dyDescent="0.25">
      <c r="B5" s="47" t="s">
        <v>79</v>
      </c>
      <c r="C5" s="47" t="s">
        <v>86</v>
      </c>
      <c r="D5" s="47" t="s">
        <v>80</v>
      </c>
      <c r="E5" s="51" t="s">
        <v>85</v>
      </c>
      <c r="F5" s="49" t="s">
        <v>84</v>
      </c>
      <c r="G5" s="50" t="s">
        <v>93</v>
      </c>
      <c r="H5" s="51" t="s">
        <v>92</v>
      </c>
    </row>
    <row r="6" spans="2:8" x14ac:dyDescent="0.25">
      <c r="B6" s="9">
        <v>1</v>
      </c>
      <c r="C6" s="21" t="s">
        <v>91</v>
      </c>
      <c r="D6" s="9" t="s">
        <v>80</v>
      </c>
      <c r="E6" s="12">
        <v>43</v>
      </c>
      <c r="F6" s="8">
        <v>12</v>
      </c>
      <c r="G6" s="7">
        <v>2</v>
      </c>
      <c r="H6" s="12">
        <f>(E6/F6)*G6</f>
        <v>7.166666666666667</v>
      </c>
    </row>
    <row r="7" spans="2:8" x14ac:dyDescent="0.25">
      <c r="B7" s="9">
        <v>2</v>
      </c>
      <c r="C7" s="24" t="s">
        <v>90</v>
      </c>
      <c r="D7" s="9" t="s">
        <v>80</v>
      </c>
      <c r="E7" s="12">
        <v>12</v>
      </c>
      <c r="F7" s="7">
        <v>12</v>
      </c>
      <c r="G7" s="7">
        <v>1</v>
      </c>
      <c r="H7" s="12">
        <f>(E7/F7)*G7</f>
        <v>1</v>
      </c>
    </row>
    <row r="8" spans="2:8" x14ac:dyDescent="0.25">
      <c r="B8" s="9">
        <v>3</v>
      </c>
      <c r="C8" s="24" t="s">
        <v>89</v>
      </c>
      <c r="D8" s="9" t="s">
        <v>80</v>
      </c>
      <c r="E8" s="12">
        <v>15</v>
      </c>
      <c r="F8" s="7">
        <v>24</v>
      </c>
      <c r="G8" s="7">
        <v>1</v>
      </c>
      <c r="H8" s="12">
        <f>(E8/F8)*G8</f>
        <v>0.625</v>
      </c>
    </row>
    <row r="9" spans="2:8" ht="45" x14ac:dyDescent="0.25">
      <c r="B9" s="9">
        <v>4</v>
      </c>
      <c r="C9" s="24" t="s">
        <v>88</v>
      </c>
      <c r="D9" s="9" t="s">
        <v>80</v>
      </c>
      <c r="E9" s="6">
        <v>350</v>
      </c>
      <c r="F9" s="23">
        <v>12</v>
      </c>
      <c r="G9" s="7">
        <v>1</v>
      </c>
      <c r="H9" s="12">
        <f>(E9/F9)*G9</f>
        <v>29.166666666666668</v>
      </c>
    </row>
    <row r="10" spans="2:8" x14ac:dyDescent="0.25">
      <c r="B10" s="10"/>
      <c r="C10" s="230" t="s">
        <v>87</v>
      </c>
      <c r="D10" s="231"/>
      <c r="E10" s="231"/>
      <c r="F10" s="231"/>
      <c r="G10" s="232"/>
      <c r="H10" s="16">
        <f>SUM(H6:H9)</f>
        <v>37.958333333333336</v>
      </c>
    </row>
  </sheetData>
  <mergeCells count="2">
    <mergeCell ref="C10:G10"/>
    <mergeCell ref="B4:H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showGridLines="0" zoomScale="130" zoomScaleNormal="130" workbookViewId="0">
      <selection activeCell="H19" sqref="H19"/>
    </sheetView>
  </sheetViews>
  <sheetFormatPr defaultRowHeight="15" x14ac:dyDescent="0.25"/>
  <cols>
    <col min="3" max="3" width="52.7109375" customWidth="1"/>
    <col min="5" max="5" width="15" customWidth="1"/>
    <col min="6" max="6" width="11.28515625" bestFit="1" customWidth="1"/>
    <col min="7" max="7" width="12.140625" bestFit="1" customWidth="1"/>
    <col min="8" max="8" width="16.140625" customWidth="1"/>
    <col min="9" max="9" width="13.7109375" customWidth="1"/>
    <col min="10" max="10" width="10.7109375" bestFit="1" customWidth="1"/>
    <col min="11" max="11" width="11.7109375" customWidth="1"/>
    <col min="12" max="12" width="12.7109375" customWidth="1"/>
    <col min="13" max="13" width="13.5703125" customWidth="1"/>
    <col min="14" max="14" width="14" customWidth="1"/>
    <col min="15" max="15" width="16" customWidth="1"/>
  </cols>
  <sheetData>
    <row r="2" spans="1:8" s="2" customFormat="1" ht="18.75" x14ac:dyDescent="0.25">
      <c r="A2" s="10"/>
      <c r="B2" s="227" t="s">
        <v>162</v>
      </c>
      <c r="C2" s="228"/>
      <c r="D2" s="228"/>
      <c r="E2" s="228"/>
      <c r="F2" s="228"/>
      <c r="G2" s="228"/>
      <c r="H2" s="229"/>
    </row>
    <row r="3" spans="1:8" s="2" customFormat="1" ht="45" x14ac:dyDescent="0.25">
      <c r="A3" s="10"/>
      <c r="B3" s="47" t="s">
        <v>79</v>
      </c>
      <c r="C3" s="47" t="s">
        <v>86</v>
      </c>
      <c r="D3" s="47" t="s">
        <v>80</v>
      </c>
      <c r="E3" s="51" t="s">
        <v>85</v>
      </c>
      <c r="F3" s="49" t="s">
        <v>84</v>
      </c>
      <c r="G3" s="49" t="s">
        <v>74</v>
      </c>
      <c r="H3" s="51" t="s">
        <v>83</v>
      </c>
    </row>
    <row r="4" spans="1:8" s="2" customFormat="1" x14ac:dyDescent="0.25">
      <c r="A4" s="10"/>
      <c r="B4" s="9">
        <v>1</v>
      </c>
      <c r="C4" s="21" t="s">
        <v>82</v>
      </c>
      <c r="D4" s="9" t="s">
        <v>80</v>
      </c>
      <c r="E4" s="6">
        <v>10</v>
      </c>
      <c r="F4" s="8">
        <v>12</v>
      </c>
      <c r="G4" s="8">
        <v>12</v>
      </c>
      <c r="H4" s="12">
        <f>(E4/F4)*G4</f>
        <v>10</v>
      </c>
    </row>
    <row r="5" spans="1:8" s="2" customFormat="1" x14ac:dyDescent="0.25">
      <c r="A5" s="10"/>
      <c r="B5" s="9">
        <v>2</v>
      </c>
      <c r="C5" s="21" t="s">
        <v>81</v>
      </c>
      <c r="D5" s="9" t="s">
        <v>80</v>
      </c>
      <c r="E5" s="6">
        <v>20</v>
      </c>
      <c r="F5" s="8">
        <v>6</v>
      </c>
      <c r="G5" s="8">
        <v>3</v>
      </c>
      <c r="H5" s="12">
        <f>(E5/F5)*G5</f>
        <v>10</v>
      </c>
    </row>
    <row r="6" spans="1:8" s="2" customFormat="1" x14ac:dyDescent="0.25">
      <c r="A6" s="10"/>
      <c r="B6" s="10"/>
      <c r="C6" s="233" t="s">
        <v>68</v>
      </c>
      <c r="D6" s="234"/>
      <c r="E6" s="234"/>
      <c r="F6" s="234"/>
      <c r="G6" s="235"/>
      <c r="H6" s="16">
        <f>SUM(H4:H5)</f>
        <v>20</v>
      </c>
    </row>
    <row r="7" spans="1:8" x14ac:dyDescent="0.25">
      <c r="B7" s="10"/>
      <c r="C7" s="233" t="s">
        <v>67</v>
      </c>
      <c r="D7" s="234"/>
      <c r="E7" s="234"/>
      <c r="F7" s="234"/>
      <c r="G7" s="235"/>
      <c r="H7" s="16">
        <f>H6/2</f>
        <v>10</v>
      </c>
    </row>
    <row r="10" spans="1:8" s="2" customFormat="1" ht="18.75" x14ac:dyDescent="0.25">
      <c r="A10" s="10"/>
      <c r="B10" s="227" t="s">
        <v>163</v>
      </c>
      <c r="C10" s="228"/>
      <c r="D10" s="228"/>
      <c r="E10" s="228"/>
      <c r="F10" s="228"/>
      <c r="G10" s="228"/>
      <c r="H10" s="229"/>
    </row>
    <row r="11" spans="1:8" s="2" customFormat="1" ht="45" x14ac:dyDescent="0.25">
      <c r="A11" s="10"/>
      <c r="B11" s="47" t="s">
        <v>79</v>
      </c>
      <c r="C11" s="47" t="s">
        <v>86</v>
      </c>
      <c r="D11" s="47" t="s">
        <v>80</v>
      </c>
      <c r="E11" s="51" t="s">
        <v>85</v>
      </c>
      <c r="F11" s="49" t="s">
        <v>84</v>
      </c>
      <c r="G11" s="49" t="s">
        <v>74</v>
      </c>
      <c r="H11" s="51" t="s">
        <v>83</v>
      </c>
    </row>
    <row r="12" spans="1:8" s="2" customFormat="1" x14ac:dyDescent="0.25">
      <c r="A12" s="10"/>
      <c r="B12" s="9">
        <v>1</v>
      </c>
      <c r="C12" s="35" t="s">
        <v>142</v>
      </c>
      <c r="D12" s="9" t="s">
        <v>80</v>
      </c>
      <c r="E12" s="6">
        <v>90</v>
      </c>
      <c r="F12" s="8">
        <v>30</v>
      </c>
      <c r="G12" s="8">
        <v>1</v>
      </c>
      <c r="H12" s="12">
        <f t="shared" ref="H12:H13" si="0">(E12/F12)*G12</f>
        <v>3</v>
      </c>
    </row>
    <row r="13" spans="1:8" s="2" customFormat="1" x14ac:dyDescent="0.25">
      <c r="A13" s="10"/>
      <c r="B13" s="9">
        <v>2</v>
      </c>
      <c r="C13" s="35" t="s">
        <v>143</v>
      </c>
      <c r="D13" s="9" t="s">
        <v>80</v>
      </c>
      <c r="E13" s="6">
        <v>24.14</v>
      </c>
      <c r="F13" s="8">
        <v>30</v>
      </c>
      <c r="G13" s="8">
        <v>1</v>
      </c>
      <c r="H13" s="12">
        <f t="shared" si="0"/>
        <v>0.80466666666666664</v>
      </c>
    </row>
    <row r="14" spans="1:8" s="2" customFormat="1" x14ac:dyDescent="0.25">
      <c r="A14" s="10"/>
      <c r="B14" s="10"/>
      <c r="C14" s="233" t="s">
        <v>68</v>
      </c>
      <c r="D14" s="234"/>
      <c r="E14" s="234"/>
      <c r="F14" s="234"/>
      <c r="G14" s="235"/>
      <c r="H14" s="16">
        <f>SUM(H12:H13)</f>
        <v>3.8046666666666669</v>
      </c>
    </row>
    <row r="15" spans="1:8" x14ac:dyDescent="0.25">
      <c r="B15" s="10"/>
      <c r="C15" s="233" t="s">
        <v>67</v>
      </c>
      <c r="D15" s="234"/>
      <c r="E15" s="234"/>
      <c r="F15" s="234"/>
      <c r="G15" s="235"/>
      <c r="H15" s="16">
        <f>H14/2</f>
        <v>1.9023333333333334</v>
      </c>
    </row>
  </sheetData>
  <mergeCells count="6">
    <mergeCell ref="C15:G15"/>
    <mergeCell ref="B2:H2"/>
    <mergeCell ref="C6:G6"/>
    <mergeCell ref="C7:G7"/>
    <mergeCell ref="B10:H10"/>
    <mergeCell ref="C14:G1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</vt:i4>
      </vt:variant>
    </vt:vector>
  </HeadingPairs>
  <TitlesOfParts>
    <vt:vector size="13" baseType="lpstr">
      <vt:lpstr>calculo modulo 4</vt:lpstr>
      <vt:lpstr>1a POSTO 12x36 DIURNO 5 postos</vt:lpstr>
      <vt:lpstr>2a POSTO 12x36 DIURNO-MOTO 2Pst</vt:lpstr>
      <vt:lpstr>3a POSTO 44 HS DIURNO MOTORIZ. </vt:lpstr>
      <vt:lpstr>4a POSTO 12x36 NOTURNO 5 postos</vt:lpstr>
      <vt:lpstr>5a POSTO 12x36 NOTUR-MOTO 2Pst</vt:lpstr>
      <vt:lpstr>Uniformes</vt:lpstr>
      <vt:lpstr>Material de uso individual</vt:lpstr>
      <vt:lpstr>Masterial de uso coletivo</vt:lpstr>
      <vt:lpstr>Equipamentos-Depreciação</vt:lpstr>
      <vt:lpstr>USO MOTO</vt:lpstr>
      <vt:lpstr>RESUMO FINAL</vt:lpstr>
      <vt:lpstr>'RESUMO FINAL'!Area_de_impressao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SGC - IFAMCMZL</cp:lastModifiedBy>
  <cp:lastPrinted>2019-03-20T15:24:58Z</cp:lastPrinted>
  <dcterms:created xsi:type="dcterms:W3CDTF">2018-01-23T19:35:16Z</dcterms:created>
  <dcterms:modified xsi:type="dcterms:W3CDTF">2019-04-24T12:30:01Z</dcterms:modified>
</cp:coreProperties>
</file>