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-345" windowWidth="18030" windowHeight="8385"/>
  </bookViews>
  <sheets>
    <sheet name="ORÇ" sheetId="1" r:id="rId1"/>
    <sheet name=" CCU " sheetId="11" r:id="rId2"/>
    <sheet name="CRON" sheetId="12" r:id="rId3"/>
    <sheet name="LS" sheetId="13" r:id="rId4"/>
    <sheet name="BDI" sheetId="14" r:id="rId5"/>
    <sheet name="ES" sheetId="15" r:id="rId6"/>
  </sheets>
  <definedNames>
    <definedName name="_xlnm.Print_Area" localSheetId="1">' CCU '!$A$1:$G$895</definedName>
    <definedName name="_xlnm.Print_Area" localSheetId="4">BDI!$A$1:$D$44</definedName>
    <definedName name="_xlnm.Print_Area" localSheetId="2">CRON!$A$1:$P$43</definedName>
    <definedName name="_xlnm.Print_Area" localSheetId="5">ES!$A$1:$F$57</definedName>
    <definedName name="_xlnm.Print_Area" localSheetId="3">LS!$A$1:$F$48</definedName>
    <definedName name="_xlnm.Print_Area" localSheetId="0">ORÇ!$A$1:$G$90</definedName>
    <definedName name="_xlnm.Print_Titles" localSheetId="1">' CCU '!$1:$11</definedName>
    <definedName name="_xlnm.Print_Titles" localSheetId="0">ORÇ!$1:$11</definedName>
  </definedNames>
  <calcPr calcId="145621"/>
</workbook>
</file>

<file path=xl/calcChain.xml><?xml version="1.0" encoding="utf-8"?>
<calcChain xmlns="http://schemas.openxmlformats.org/spreadsheetml/2006/main">
  <c r="G506" i="11" l="1"/>
  <c r="G505" i="11"/>
  <c r="G504" i="11"/>
  <c r="G503" i="11"/>
  <c r="G502" i="11"/>
  <c r="G500" i="11"/>
  <c r="K423" i="11"/>
  <c r="G170" i="11"/>
  <c r="G849" i="11"/>
  <c r="G832" i="11"/>
  <c r="G815" i="11"/>
  <c r="G814" i="11"/>
  <c r="G813" i="11"/>
  <c r="G721" i="11"/>
  <c r="G705" i="11"/>
  <c r="G704" i="11"/>
  <c r="C51" i="15" l="1"/>
  <c r="F30" i="11"/>
  <c r="F17" i="11"/>
  <c r="F51" i="15" l="1"/>
  <c r="E51" i="15"/>
  <c r="D51" i="15"/>
  <c r="F44" i="15" l="1"/>
  <c r="E44" i="15"/>
  <c r="D44" i="15"/>
  <c r="C44" i="15"/>
  <c r="F40" i="15"/>
  <c r="E40" i="15"/>
  <c r="D40" i="15"/>
  <c r="C40" i="15"/>
  <c r="F33" i="15"/>
  <c r="E33" i="15"/>
  <c r="D33" i="15"/>
  <c r="C33" i="15"/>
  <c r="F21" i="15"/>
  <c r="F52" i="15" s="1"/>
  <c r="E21" i="15"/>
  <c r="E52" i="15" s="1"/>
  <c r="D21" i="15"/>
  <c r="C21" i="15"/>
  <c r="C52" i="15" s="1"/>
  <c r="J40" i="15" l="1"/>
  <c r="J21" i="15"/>
  <c r="J44" i="15"/>
  <c r="J33" i="15"/>
  <c r="J51" i="15"/>
  <c r="D52" i="15"/>
  <c r="G172" i="11"/>
  <c r="G173" i="11" s="1"/>
  <c r="G171" i="11"/>
  <c r="G169" i="11"/>
  <c r="G865" i="11"/>
  <c r="G867" i="11"/>
  <c r="G883" i="11"/>
  <c r="G882" i="11"/>
  <c r="G881" i="11"/>
  <c r="G886" i="11" s="1"/>
  <c r="G880" i="11"/>
  <c r="G879" i="11"/>
  <c r="G878" i="11"/>
  <c r="G803" i="11"/>
  <c r="G804" i="11" s="1"/>
  <c r="G802" i="11"/>
  <c r="G801" i="11"/>
  <c r="G674" i="11"/>
  <c r="G673" i="11"/>
  <c r="G672" i="11"/>
  <c r="G643" i="11"/>
  <c r="G644" i="11"/>
  <c r="G645" i="11"/>
  <c r="G646" i="11"/>
  <c r="G648" i="11"/>
  <c r="G665" i="11"/>
  <c r="G664" i="11"/>
  <c r="G663" i="11"/>
  <c r="G667" i="11" s="1"/>
  <c r="G662" i="11"/>
  <c r="G661" i="11"/>
  <c r="G660" i="11"/>
  <c r="G659" i="11"/>
  <c r="G626" i="11"/>
  <c r="G625" i="11"/>
  <c r="G608" i="11"/>
  <c r="G609" i="11"/>
  <c r="G593" i="11"/>
  <c r="G535" i="11"/>
  <c r="G485" i="11"/>
  <c r="G468" i="11"/>
  <c r="G402" i="11"/>
  <c r="G401" i="11"/>
  <c r="G400" i="11"/>
  <c r="G404" i="11" s="1"/>
  <c r="G399" i="11"/>
  <c r="G398" i="11"/>
  <c r="G397" i="11"/>
  <c r="G396" i="11"/>
  <c r="G386" i="11"/>
  <c r="G353" i="11"/>
  <c r="G338" i="11"/>
  <c r="G323" i="11"/>
  <c r="G306" i="11"/>
  <c r="G293" i="11"/>
  <c r="G292" i="11"/>
  <c r="G291" i="11"/>
  <c r="G296" i="11" s="1"/>
  <c r="G290" i="11"/>
  <c r="G289" i="11"/>
  <c r="G288" i="11"/>
  <c r="J52" i="15" l="1"/>
  <c r="G805" i="11"/>
  <c r="G806" i="11" s="1"/>
  <c r="F790" i="11" s="1"/>
  <c r="G887" i="11"/>
  <c r="G174" i="11"/>
  <c r="G175" i="11" s="1"/>
  <c r="F158" i="11" s="1"/>
  <c r="G885" i="11"/>
  <c r="G676" i="11"/>
  <c r="G675" i="11"/>
  <c r="G666" i="11"/>
  <c r="G668" i="11"/>
  <c r="G405" i="11"/>
  <c r="G403" i="11"/>
  <c r="G295" i="11"/>
  <c r="G297" i="11"/>
  <c r="G276" i="11"/>
  <c r="G261" i="11"/>
  <c r="G260" i="11"/>
  <c r="G213" i="11"/>
  <c r="G185" i="11"/>
  <c r="G187" i="11"/>
  <c r="G143" i="11"/>
  <c r="G113" i="11"/>
  <c r="G115" i="11"/>
  <c r="G73" i="11"/>
  <c r="G888" i="11" l="1"/>
  <c r="G677" i="11"/>
  <c r="F642" i="11" s="1"/>
  <c r="G642" i="11" s="1"/>
  <c r="G669" i="11"/>
  <c r="F641" i="11" s="1"/>
  <c r="G298" i="11"/>
  <c r="G406" i="11"/>
  <c r="F384" i="11" s="1"/>
  <c r="G16" i="11"/>
  <c r="G29" i="11"/>
  <c r="H55" i="14"/>
  <c r="H54" i="14"/>
  <c r="H57" i="14" s="1"/>
  <c r="H58" i="14" s="1"/>
  <c r="D28" i="14"/>
  <c r="B5" i="12"/>
  <c r="B28" i="12"/>
  <c r="F512" i="11"/>
  <c r="F511" i="11"/>
  <c r="G509" i="11"/>
  <c r="F873" i="11"/>
  <c r="F857" i="11"/>
  <c r="F840" i="11"/>
  <c r="F839" i="11"/>
  <c r="G836" i="11"/>
  <c r="G835" i="11"/>
  <c r="G834" i="11"/>
  <c r="G833" i="11"/>
  <c r="G831" i="11"/>
  <c r="F822" i="11"/>
  <c r="F796" i="11"/>
  <c r="F795" i="11"/>
  <c r="G791" i="11"/>
  <c r="G790" i="11"/>
  <c r="G789" i="11"/>
  <c r="G788" i="11"/>
  <c r="G787" i="11"/>
  <c r="F779" i="11"/>
  <c r="F778" i="11"/>
  <c r="G773" i="11"/>
  <c r="G774" i="11" s="1"/>
  <c r="G771" i="11"/>
  <c r="G770" i="11"/>
  <c r="G769" i="11"/>
  <c r="G768" i="11"/>
  <c r="G752" i="11"/>
  <c r="G751" i="11"/>
  <c r="F759" i="11"/>
  <c r="F758" i="11"/>
  <c r="G753" i="11"/>
  <c r="G754" i="11" s="1"/>
  <c r="G750" i="11"/>
  <c r="G735" i="11"/>
  <c r="F742" i="11"/>
  <c r="F741" i="11"/>
  <c r="G738" i="11"/>
  <c r="G737" i="11"/>
  <c r="G736" i="11"/>
  <c r="G734" i="11"/>
  <c r="G733" i="11"/>
  <c r="F725" i="11"/>
  <c r="F724" i="11"/>
  <c r="G720" i="11"/>
  <c r="G722" i="11" s="1"/>
  <c r="F712" i="11"/>
  <c r="F711" i="11"/>
  <c r="G707" i="11"/>
  <c r="G706" i="11"/>
  <c r="G703" i="11"/>
  <c r="G710" i="11" s="1"/>
  <c r="G687" i="11"/>
  <c r="F694" i="11"/>
  <c r="F693" i="11"/>
  <c r="G690" i="11"/>
  <c r="G689" i="11"/>
  <c r="G688" i="11"/>
  <c r="G686" i="11"/>
  <c r="G685" i="11"/>
  <c r="G684" i="11"/>
  <c r="F654" i="11"/>
  <c r="F653" i="11"/>
  <c r="G649" i="11"/>
  <c r="G647" i="11"/>
  <c r="G641" i="11"/>
  <c r="F633" i="11"/>
  <c r="F632" i="11"/>
  <c r="G628" i="11"/>
  <c r="G627" i="11"/>
  <c r="G624" i="11"/>
  <c r="G631" i="11" s="1"/>
  <c r="F616" i="11"/>
  <c r="F615" i="11"/>
  <c r="G611" i="11"/>
  <c r="G610" i="11"/>
  <c r="G607" i="11"/>
  <c r="G614" i="11" s="1"/>
  <c r="F599" i="11"/>
  <c r="F598" i="11"/>
  <c r="G594" i="11"/>
  <c r="G592" i="11"/>
  <c r="G597" i="11" s="1"/>
  <c r="F583" i="11"/>
  <c r="F584" i="11"/>
  <c r="G580" i="11"/>
  <c r="G579" i="11"/>
  <c r="G578" i="11"/>
  <c r="G582" i="11" s="1"/>
  <c r="G756" i="11" l="1"/>
  <c r="G652" i="11"/>
  <c r="F864" i="11"/>
  <c r="I888" i="11"/>
  <c r="F275" i="11"/>
  <c r="I298" i="11"/>
  <c r="G508" i="11"/>
  <c r="G511" i="11" s="1"/>
  <c r="G510" i="11"/>
  <c r="G777" i="11"/>
  <c r="G837" i="11"/>
  <c r="G838" i="11"/>
  <c r="G839" i="11"/>
  <c r="G793" i="11"/>
  <c r="G795" i="11" s="1"/>
  <c r="G794" i="11"/>
  <c r="G772" i="11"/>
  <c r="G776" i="11" s="1"/>
  <c r="G775" i="11"/>
  <c r="G778" i="11"/>
  <c r="G758" i="11"/>
  <c r="G739" i="11"/>
  <c r="G741" i="11" s="1"/>
  <c r="G613" i="11"/>
  <c r="G615" i="11" s="1"/>
  <c r="G740" i="11"/>
  <c r="G724" i="11"/>
  <c r="G726" i="11" s="1"/>
  <c r="G581" i="11"/>
  <c r="G583" i="11" s="1"/>
  <c r="G584" i="11" s="1"/>
  <c r="G596" i="11"/>
  <c r="G598" i="11" s="1"/>
  <c r="G630" i="11"/>
  <c r="G632" i="11" s="1"/>
  <c r="G709" i="11"/>
  <c r="G711" i="11" s="1"/>
  <c r="G691" i="11"/>
  <c r="G692" i="11"/>
  <c r="G651" i="11"/>
  <c r="G653" i="11" s="1"/>
  <c r="G693" i="11" l="1"/>
  <c r="G694" i="11" s="1"/>
  <c r="G512" i="11"/>
  <c r="G840" i="11"/>
  <c r="G841" i="11" s="1"/>
  <c r="G780" i="11"/>
  <c r="G796" i="11"/>
  <c r="G797" i="11" s="1"/>
  <c r="G779" i="11"/>
  <c r="G760" i="11"/>
  <c r="G759" i="11"/>
  <c r="G742" i="11"/>
  <c r="G725" i="11"/>
  <c r="G727" i="11" s="1"/>
  <c r="E66" i="1" s="1"/>
  <c r="G654" i="11"/>
  <c r="G633" i="11"/>
  <c r="G616" i="11"/>
  <c r="G599" i="11"/>
  <c r="G585" i="11"/>
  <c r="G586" i="11" s="1"/>
  <c r="G761" i="11" l="1"/>
  <c r="G781" i="11"/>
  <c r="G513" i="11"/>
  <c r="G514" i="11" s="1"/>
  <c r="I514" i="11" s="1"/>
  <c r="E71" i="1"/>
  <c r="E70" i="1"/>
  <c r="G695" i="11"/>
  <c r="G696" i="11" s="1"/>
  <c r="E59" i="1"/>
  <c r="I586" i="11"/>
  <c r="G842" i="11"/>
  <c r="E78" i="1" s="1"/>
  <c r="G798" i="11"/>
  <c r="G743" i="11"/>
  <c r="G744" i="11" s="1"/>
  <c r="G655" i="11"/>
  <c r="G656" i="11" s="1"/>
  <c r="G634" i="11"/>
  <c r="G635" i="11" s="1"/>
  <c r="G617" i="11"/>
  <c r="G618" i="11" s="1"/>
  <c r="G600" i="11"/>
  <c r="G601" i="11" s="1"/>
  <c r="E64" i="1" l="1"/>
  <c r="I696" i="11"/>
  <c r="E67" i="1"/>
  <c r="F67" i="1" s="1"/>
  <c r="I744" i="11"/>
  <c r="E74" i="1"/>
  <c r="F74" i="1" s="1"/>
  <c r="G73" i="1" s="1"/>
  <c r="I798" i="11"/>
  <c r="E63" i="1"/>
  <c r="F63" i="1" s="1"/>
  <c r="I656" i="11"/>
  <c r="E62" i="1"/>
  <c r="F62" i="1" s="1"/>
  <c r="I635" i="11"/>
  <c r="E61" i="1"/>
  <c r="F61" i="1" s="1"/>
  <c r="I618" i="11"/>
  <c r="E60" i="1"/>
  <c r="F60" i="1" s="1"/>
  <c r="I601" i="11"/>
  <c r="F570" i="11"/>
  <c r="F569" i="11"/>
  <c r="G564" i="11"/>
  <c r="G565" i="11"/>
  <c r="G563" i="11"/>
  <c r="G568" i="11" s="1"/>
  <c r="F555" i="11"/>
  <c r="F554" i="11"/>
  <c r="G550" i="11"/>
  <c r="G553" i="11" s="1"/>
  <c r="G549" i="11"/>
  <c r="G552" i="11" s="1"/>
  <c r="F541" i="11"/>
  <c r="F540" i="11"/>
  <c r="G536" i="11"/>
  <c r="G534" i="11"/>
  <c r="G539" i="11" s="1"/>
  <c r="F526" i="11"/>
  <c r="F525" i="11"/>
  <c r="G521" i="11"/>
  <c r="G520" i="11"/>
  <c r="G519" i="11"/>
  <c r="G524" i="11" s="1"/>
  <c r="F493" i="11"/>
  <c r="F492" i="11"/>
  <c r="G488" i="11"/>
  <c r="G487" i="11"/>
  <c r="G486" i="11"/>
  <c r="G484" i="11"/>
  <c r="F476" i="11"/>
  <c r="F475" i="11"/>
  <c r="G471" i="11"/>
  <c r="G470" i="11"/>
  <c r="G469" i="11"/>
  <c r="G467" i="11"/>
  <c r="F459" i="11"/>
  <c r="F458" i="11"/>
  <c r="G454" i="11"/>
  <c r="G453" i="11"/>
  <c r="G452" i="11"/>
  <c r="G451" i="11"/>
  <c r="G450" i="11"/>
  <c r="G449" i="11"/>
  <c r="G434" i="11"/>
  <c r="F441" i="11"/>
  <c r="F425" i="11"/>
  <c r="F391" i="11"/>
  <c r="F390" i="11"/>
  <c r="G385" i="11"/>
  <c r="G387" i="11" s="1"/>
  <c r="G384" i="11"/>
  <c r="F376" i="11"/>
  <c r="F375" i="11"/>
  <c r="G371" i="11"/>
  <c r="G370" i="11"/>
  <c r="G369" i="11"/>
  <c r="G368" i="11"/>
  <c r="G367" i="11"/>
  <c r="F360" i="11"/>
  <c r="F359" i="11"/>
  <c r="G356" i="11"/>
  <c r="G355" i="11"/>
  <c r="G354" i="11"/>
  <c r="G352" i="11"/>
  <c r="F345" i="11"/>
  <c r="F344" i="11"/>
  <c r="G341" i="11"/>
  <c r="G340" i="11"/>
  <c r="G339" i="11"/>
  <c r="G337" i="11"/>
  <c r="F330" i="11"/>
  <c r="F329" i="11"/>
  <c r="G326" i="11"/>
  <c r="G325" i="11"/>
  <c r="G324" i="11"/>
  <c r="G322" i="11"/>
  <c r="F314" i="11"/>
  <c r="F313" i="11"/>
  <c r="G309" i="11"/>
  <c r="G308" i="11"/>
  <c r="G307" i="11"/>
  <c r="G305" i="11"/>
  <c r="F283" i="11"/>
  <c r="F282" i="11"/>
  <c r="G277" i="11"/>
  <c r="G275" i="11"/>
  <c r="F267" i="11"/>
  <c r="F251" i="11"/>
  <c r="F250" i="11"/>
  <c r="G246" i="11"/>
  <c r="G245" i="11"/>
  <c r="G244" i="11"/>
  <c r="F59" i="1"/>
  <c r="F64" i="1"/>
  <c r="F66" i="1"/>
  <c r="F70" i="1"/>
  <c r="F71" i="1"/>
  <c r="F78" i="1"/>
  <c r="F236" i="11"/>
  <c r="F235" i="11"/>
  <c r="F221" i="11"/>
  <c r="F220" i="11"/>
  <c r="G231" i="11"/>
  <c r="G230" i="11"/>
  <c r="G229" i="11"/>
  <c r="G216" i="11"/>
  <c r="G215" i="11"/>
  <c r="G214" i="11"/>
  <c r="G212" i="11"/>
  <c r="F205" i="11"/>
  <c r="F204" i="11"/>
  <c r="G201" i="11"/>
  <c r="G200" i="11"/>
  <c r="G199" i="11"/>
  <c r="F191" i="11"/>
  <c r="F190" i="11"/>
  <c r="G186" i="11"/>
  <c r="G184" i="11"/>
  <c r="G183" i="11"/>
  <c r="G182" i="11"/>
  <c r="F164" i="11"/>
  <c r="F163" i="11"/>
  <c r="G159" i="11"/>
  <c r="G158" i="11"/>
  <c r="G157" i="11"/>
  <c r="G156" i="11"/>
  <c r="F148" i="11"/>
  <c r="G142" i="11"/>
  <c r="G146" i="11" s="1"/>
  <c r="F134" i="11"/>
  <c r="F120" i="11"/>
  <c r="F119" i="11"/>
  <c r="G116" i="11"/>
  <c r="G117" i="11" s="1"/>
  <c r="G114" i="11"/>
  <c r="G112" i="11"/>
  <c r="G188" i="11" l="1"/>
  <c r="G190" i="11" s="1"/>
  <c r="G189" i="11"/>
  <c r="G118" i="11"/>
  <c r="G456" i="11"/>
  <c r="G458" i="11" s="1"/>
  <c r="G69" i="1"/>
  <c r="G523" i="11"/>
  <c r="G525" i="11" s="1"/>
  <c r="G218" i="11"/>
  <c r="G220" i="11" s="1"/>
  <c r="G234" i="11"/>
  <c r="G567" i="11"/>
  <c r="G569" i="11" s="1"/>
  <c r="G554" i="11"/>
  <c r="G555" i="11" s="1"/>
  <c r="G312" i="11"/>
  <c r="G311" i="11"/>
  <c r="G313" i="11" s="1"/>
  <c r="G343" i="11"/>
  <c r="G342" i="11"/>
  <c r="G344" i="11" s="1"/>
  <c r="G374" i="11"/>
  <c r="G373" i="11"/>
  <c r="G375" i="11" s="1"/>
  <c r="G457" i="11"/>
  <c r="G474" i="11"/>
  <c r="G473" i="11"/>
  <c r="G475" i="11" s="1"/>
  <c r="G491" i="11"/>
  <c r="G490" i="11"/>
  <c r="G492" i="11" s="1"/>
  <c r="G538" i="11"/>
  <c r="G540" i="11" s="1"/>
  <c r="G328" i="11"/>
  <c r="G389" i="11"/>
  <c r="G219" i="11"/>
  <c r="G249" i="11"/>
  <c r="G248" i="11"/>
  <c r="G250" i="11" s="1"/>
  <c r="G281" i="11"/>
  <c r="G327" i="11"/>
  <c r="G329" i="11" s="1"/>
  <c r="G358" i="11"/>
  <c r="G357" i="11"/>
  <c r="G359" i="11" s="1"/>
  <c r="G390" i="11"/>
  <c r="G391" i="11" s="1"/>
  <c r="G279" i="11"/>
  <c r="G282" i="11" s="1"/>
  <c r="G233" i="11"/>
  <c r="G235" i="11" s="1"/>
  <c r="G202" i="11"/>
  <c r="G204" i="11" s="1"/>
  <c r="G203" i="11"/>
  <c r="G162" i="11"/>
  <c r="G161" i="11"/>
  <c r="G163" i="11" s="1"/>
  <c r="G119" i="11"/>
  <c r="G283" i="11" l="1"/>
  <c r="G206" i="11"/>
  <c r="G459" i="11"/>
  <c r="G460" i="11" s="1"/>
  <c r="G461" i="11" s="1"/>
  <c r="E49" i="1" s="1"/>
  <c r="F49" i="1" s="1"/>
  <c r="G493" i="11"/>
  <c r="G494" i="11" s="1"/>
  <c r="G495" i="11" s="1"/>
  <c r="G376" i="11"/>
  <c r="G377" i="11" s="1"/>
  <c r="G378" i="11" s="1"/>
  <c r="E43" i="1" s="1"/>
  <c r="F43" i="1" s="1"/>
  <c r="G345" i="11"/>
  <c r="G314" i="11"/>
  <c r="G476" i="11"/>
  <c r="G477" i="11" s="1"/>
  <c r="G478" i="11" s="1"/>
  <c r="G570" i="11"/>
  <c r="G556" i="11"/>
  <c r="G557" i="11" s="1"/>
  <c r="E57" i="1" s="1"/>
  <c r="F57" i="1" s="1"/>
  <c r="G541" i="11"/>
  <c r="G526" i="11"/>
  <c r="E52" i="1"/>
  <c r="F52" i="1" s="1"/>
  <c r="G392" i="11"/>
  <c r="G393" i="11" s="1"/>
  <c r="G360" i="11"/>
  <c r="G330" i="11"/>
  <c r="G251" i="11"/>
  <c r="G236" i="11"/>
  <c r="G221" i="11"/>
  <c r="G205" i="11"/>
  <c r="G207" i="11" s="1"/>
  <c r="G192" i="11"/>
  <c r="G191" i="11"/>
  <c r="G193" i="11" s="1"/>
  <c r="G165" i="11"/>
  <c r="G164" i="11"/>
  <c r="G166" i="11" s="1"/>
  <c r="G121" i="11"/>
  <c r="G120" i="11" s="1"/>
  <c r="G122" i="11" s="1"/>
  <c r="G362" i="11" l="1"/>
  <c r="G315" i="11"/>
  <c r="G316" i="11"/>
  <c r="I316" i="11" s="1"/>
  <c r="G346" i="11"/>
  <c r="G347" i="11" s="1"/>
  <c r="G284" i="11"/>
  <c r="G285" i="11" s="1"/>
  <c r="E51" i="1"/>
  <c r="F51" i="1" s="1"/>
  <c r="I495" i="11"/>
  <c r="E50" i="1"/>
  <c r="F50" i="1" s="1"/>
  <c r="I478" i="11"/>
  <c r="E44" i="1"/>
  <c r="F44" i="1" s="1"/>
  <c r="I393" i="11"/>
  <c r="E39" i="1"/>
  <c r="F39" i="1" s="1"/>
  <c r="E24" i="1"/>
  <c r="F24" i="1" s="1"/>
  <c r="I122" i="11"/>
  <c r="G571" i="11"/>
  <c r="G572" i="11" s="1"/>
  <c r="G542" i="11"/>
  <c r="G543" i="11" s="1"/>
  <c r="G527" i="11"/>
  <c r="G528" i="11" s="1"/>
  <c r="E53" i="1" s="1"/>
  <c r="F53" i="1" s="1"/>
  <c r="G361" i="11"/>
  <c r="G331" i="11"/>
  <c r="G332" i="11" s="1"/>
  <c r="G252" i="11"/>
  <c r="G253" i="11" s="1"/>
  <c r="G237" i="11"/>
  <c r="G238" i="11" s="1"/>
  <c r="G222" i="11"/>
  <c r="G223" i="11" s="1"/>
  <c r="E38" i="1" l="1"/>
  <c r="F38" i="1" s="1"/>
  <c r="I285" i="11"/>
  <c r="E41" i="1"/>
  <c r="F41" i="1" s="1"/>
  <c r="I347" i="11"/>
  <c r="E58" i="1"/>
  <c r="F58" i="1" s="1"/>
  <c r="I572" i="11"/>
  <c r="E56" i="1"/>
  <c r="F56" i="1" s="1"/>
  <c r="I543" i="11"/>
  <c r="G48" i="1"/>
  <c r="E34" i="1"/>
  <c r="F34" i="1" s="1"/>
  <c r="I253" i="11"/>
  <c r="E33" i="1"/>
  <c r="F33" i="1" s="1"/>
  <c r="I238" i="11"/>
  <c r="E42" i="1"/>
  <c r="F42" i="1" s="1"/>
  <c r="I362" i="11"/>
  <c r="E40" i="1"/>
  <c r="F40" i="1" s="1"/>
  <c r="I332" i="11"/>
  <c r="E32" i="1"/>
  <c r="F32" i="1" s="1"/>
  <c r="I223" i="11"/>
  <c r="E31" i="1"/>
  <c r="F31" i="1" s="1"/>
  <c r="I207" i="11"/>
  <c r="E29" i="1"/>
  <c r="F29" i="1" s="1"/>
  <c r="I166" i="11"/>
  <c r="E30" i="1"/>
  <c r="F30" i="1" s="1"/>
  <c r="I193" i="11"/>
  <c r="F103" i="11"/>
  <c r="F102" i="11"/>
  <c r="G101" i="11"/>
  <c r="G98" i="11"/>
  <c r="G100" i="11" s="1"/>
  <c r="F89" i="11"/>
  <c r="F88" i="11"/>
  <c r="G87" i="11"/>
  <c r="G84" i="11"/>
  <c r="G86" i="11" s="1"/>
  <c r="F77" i="11"/>
  <c r="F76" i="11"/>
  <c r="G72" i="11"/>
  <c r="G74" i="11" s="1"/>
  <c r="F65" i="11"/>
  <c r="F48" i="11"/>
  <c r="F31" i="11"/>
  <c r="G102" i="11" l="1"/>
  <c r="G104" i="11" s="1"/>
  <c r="G76" i="11"/>
  <c r="G78" i="11" s="1"/>
  <c r="G88" i="11"/>
  <c r="G90" i="11" s="1"/>
  <c r="G99" i="1"/>
  <c r="G100" i="1" s="1"/>
  <c r="H100" i="1" s="1"/>
  <c r="G77" i="11" l="1"/>
  <c r="G79" i="11" s="1"/>
  <c r="G89" i="11"/>
  <c r="G91" i="11" s="1"/>
  <c r="E20" i="1" s="1"/>
  <c r="F20" i="1" s="1"/>
  <c r="G103" i="11"/>
  <c r="G105" i="11" s="1"/>
  <c r="E23" i="1" s="1"/>
  <c r="F23" i="1" s="1"/>
  <c r="E19" i="1" l="1"/>
  <c r="F19" i="1" s="1"/>
  <c r="I79" i="11"/>
  <c r="L34" i="14"/>
  <c r="M35" i="14" s="1"/>
  <c r="M36" i="14" s="1"/>
  <c r="I30" i="14"/>
  <c r="G31" i="14"/>
  <c r="H41" i="14"/>
  <c r="H50" i="14"/>
  <c r="J40" i="14"/>
  <c r="J39" i="14"/>
  <c r="J38" i="14"/>
  <c r="H44" i="14"/>
  <c r="H43" i="14"/>
  <c r="H45" i="14" s="1"/>
  <c r="D21" i="14"/>
  <c r="D14" i="14"/>
  <c r="H54" i="13"/>
  <c r="F42" i="13"/>
  <c r="E42" i="13"/>
  <c r="D42" i="13"/>
  <c r="C42" i="13"/>
  <c r="F38" i="13"/>
  <c r="E38" i="13"/>
  <c r="D38" i="13"/>
  <c r="C38" i="13"/>
  <c r="F31" i="13"/>
  <c r="E31" i="13"/>
  <c r="D31" i="13"/>
  <c r="C31" i="13"/>
  <c r="F19" i="13"/>
  <c r="F43" i="13" s="1"/>
  <c r="E19" i="13"/>
  <c r="E43" i="13" s="1"/>
  <c r="D19" i="13"/>
  <c r="C19" i="13"/>
  <c r="B26" i="12"/>
  <c r="B24" i="12"/>
  <c r="B22" i="12"/>
  <c r="B20" i="12"/>
  <c r="B18" i="12"/>
  <c r="B16" i="12"/>
  <c r="B14" i="12"/>
  <c r="B12" i="12"/>
  <c r="B10" i="12"/>
  <c r="K38" i="14" l="1"/>
  <c r="L40" i="14"/>
  <c r="L41" i="14" s="1"/>
  <c r="L43" i="14" s="1"/>
  <c r="L45" i="14" s="1"/>
  <c r="D43" i="13"/>
  <c r="H57" i="13" s="1"/>
  <c r="H58" i="13" s="1"/>
  <c r="C43" i="13"/>
  <c r="F54" i="13" s="1"/>
  <c r="F55" i="13" s="1"/>
  <c r="F872" i="11" l="1"/>
  <c r="G868" i="11"/>
  <c r="G866" i="11"/>
  <c r="G864" i="11"/>
  <c r="G871" i="11" s="1"/>
  <c r="G872" i="11" l="1"/>
  <c r="G870" i="11"/>
  <c r="F856" i="11"/>
  <c r="G850" i="11"/>
  <c r="G853" i="11"/>
  <c r="G852" i="11"/>
  <c r="G851" i="11"/>
  <c r="G848" i="11"/>
  <c r="G873" i="11" l="1"/>
  <c r="G874" i="11" s="1"/>
  <c r="G875" i="11" s="1"/>
  <c r="G855" i="11"/>
  <c r="G854" i="11"/>
  <c r="G856" i="11" s="1"/>
  <c r="E80" i="1" l="1"/>
  <c r="F80" i="1" s="1"/>
  <c r="I875" i="11"/>
  <c r="G857" i="11"/>
  <c r="F821" i="11"/>
  <c r="G817" i="11"/>
  <c r="G816" i="11"/>
  <c r="G820" i="11"/>
  <c r="G439" i="11"/>
  <c r="G435" i="11"/>
  <c r="F440" i="11"/>
  <c r="G415" i="11"/>
  <c r="G416" i="11"/>
  <c r="G417" i="11"/>
  <c r="G422" i="11" s="1"/>
  <c r="G418" i="11"/>
  <c r="G419" i="11"/>
  <c r="G413" i="11"/>
  <c r="F424" i="11"/>
  <c r="G259" i="11"/>
  <c r="G265" i="11" s="1"/>
  <c r="F266" i="11"/>
  <c r="F147" i="11"/>
  <c r="F133" i="11"/>
  <c r="G128" i="11"/>
  <c r="G132" i="11" s="1"/>
  <c r="F64" i="11"/>
  <c r="G60" i="11"/>
  <c r="G59" i="11"/>
  <c r="G58" i="11"/>
  <c r="G57" i="11"/>
  <c r="G56" i="11"/>
  <c r="F47" i="11"/>
  <c r="G43" i="11"/>
  <c r="G712" i="11" s="1"/>
  <c r="G713" i="11" s="1"/>
  <c r="G714" i="11" s="1"/>
  <c r="E65" i="1" s="1"/>
  <c r="F65" i="1" s="1"/>
  <c r="G55" i="1" s="1"/>
  <c r="G42" i="11"/>
  <c r="G41" i="11"/>
  <c r="G40" i="11"/>
  <c r="G39" i="11"/>
  <c r="G858" i="11" l="1"/>
  <c r="G859" i="11" s="1"/>
  <c r="E79" i="1" s="1"/>
  <c r="F79" i="1" s="1"/>
  <c r="G819" i="11"/>
  <c r="G821" i="11" s="1"/>
  <c r="G822" i="11" s="1"/>
  <c r="G423" i="11"/>
  <c r="G46" i="11"/>
  <c r="G63" i="11"/>
  <c r="G62" i="11"/>
  <c r="G64" i="11" s="1"/>
  <c r="G45" i="11"/>
  <c r="G47" i="11" s="1"/>
  <c r="G26" i="11"/>
  <c r="G28" i="11" s="1"/>
  <c r="F18" i="11"/>
  <c r="G66" i="11" l="1"/>
  <c r="G65" i="11" s="1"/>
  <c r="G67" i="11" s="1"/>
  <c r="I67" i="11" s="1"/>
  <c r="G49" i="11"/>
  <c r="G48" i="11" s="1"/>
  <c r="G50" i="11" s="1"/>
  <c r="G823" i="11"/>
  <c r="G824" i="11" s="1"/>
  <c r="G30" i="11"/>
  <c r="G436" i="11"/>
  <c r="G438" i="11" s="1"/>
  <c r="G421" i="11"/>
  <c r="G263" i="11"/>
  <c r="G262" i="11"/>
  <c r="G145" i="11"/>
  <c r="G129" i="11"/>
  <c r="G131" i="11" s="1"/>
  <c r="G13" i="11"/>
  <c r="G15" i="11" s="1"/>
  <c r="E15" i="1" l="1"/>
  <c r="F15" i="1" s="1"/>
  <c r="I50" i="11"/>
  <c r="E16" i="1"/>
  <c r="F16" i="1" s="1"/>
  <c r="E77" i="1"/>
  <c r="F77" i="1" s="1"/>
  <c r="G76" i="1" s="1"/>
  <c r="C28" i="12" s="1"/>
  <c r="P28" i="12" s="1"/>
  <c r="O28" i="12" s="1"/>
  <c r="I824" i="11"/>
  <c r="G32" i="11"/>
  <c r="G31" i="11" s="1"/>
  <c r="G33" i="11" s="1"/>
  <c r="G264" i="11"/>
  <c r="G266" i="11" s="1"/>
  <c r="G267" i="11" s="1"/>
  <c r="G17" i="11"/>
  <c r="G19" i="11" s="1"/>
  <c r="G18" i="11" s="1"/>
  <c r="G440" i="11"/>
  <c r="G424" i="11"/>
  <c r="G133" i="11"/>
  <c r="G134" i="11" s="1"/>
  <c r="G147" i="11"/>
  <c r="G149" i="11" s="1"/>
  <c r="E14" i="1" l="1"/>
  <c r="F14" i="1" s="1"/>
  <c r="I33" i="11"/>
  <c r="G135" i="11"/>
  <c r="G136" i="11" s="1"/>
  <c r="G268" i="11"/>
  <c r="G269" i="11" s="1"/>
  <c r="G425" i="11"/>
  <c r="G441" i="11"/>
  <c r="G148" i="11"/>
  <c r="G150" i="11" s="1"/>
  <c r="E35" i="1" l="1"/>
  <c r="F35" i="1" s="1"/>
  <c r="G28" i="1" s="1"/>
  <c r="I269" i="11"/>
  <c r="E25" i="1"/>
  <c r="F25" i="1" s="1"/>
  <c r="I136" i="11"/>
  <c r="G426" i="11"/>
  <c r="G427" i="11" s="1"/>
  <c r="G442" i="11"/>
  <c r="G443" i="11" s="1"/>
  <c r="E46" i="1" s="1"/>
  <c r="I427" i="11" l="1"/>
  <c r="E26" i="1"/>
  <c r="F26" i="1" s="1"/>
  <c r="G22" i="1" s="1"/>
  <c r="I150" i="11"/>
  <c r="E45" i="1"/>
  <c r="F45" i="1" s="1"/>
  <c r="F46" i="1"/>
  <c r="C22" i="12"/>
  <c r="C24" i="12"/>
  <c r="P24" i="12" l="1"/>
  <c r="O24" i="12" s="1"/>
  <c r="J24" i="12"/>
  <c r="I24" i="12" s="1"/>
  <c r="F24" i="12"/>
  <c r="E24" i="12" s="1"/>
  <c r="N24" i="12"/>
  <c r="M24" i="12" s="1"/>
  <c r="L24" i="12"/>
  <c r="K24" i="12" s="1"/>
  <c r="H24" i="12"/>
  <c r="G24" i="12" s="1"/>
  <c r="L22" i="12"/>
  <c r="K22" i="12" s="1"/>
  <c r="N22" i="12"/>
  <c r="M22" i="12" s="1"/>
  <c r="G37" i="1"/>
  <c r="C18" i="12" s="1"/>
  <c r="C26" i="12"/>
  <c r="P26" i="12" s="1"/>
  <c r="O26" i="12" s="1"/>
  <c r="G18" i="1"/>
  <c r="C12" i="12" s="1"/>
  <c r="C20" i="12"/>
  <c r="L20" i="12" s="1"/>
  <c r="K20" i="12" s="1"/>
  <c r="C14" i="12"/>
  <c r="H74" i="1"/>
  <c r="J18" i="12" l="1"/>
  <c r="I18" i="12" s="1"/>
  <c r="H18" i="12"/>
  <c r="Q24" i="12"/>
  <c r="H14" i="12"/>
  <c r="G14" i="12" s="1"/>
  <c r="F14" i="12"/>
  <c r="E14" i="12" s="1"/>
  <c r="F12" i="12"/>
  <c r="K20" i="1"/>
  <c r="K38" i="1"/>
  <c r="K39" i="1"/>
  <c r="K40" i="1"/>
  <c r="K43" i="1"/>
  <c r="K44" i="1"/>
  <c r="K47" i="1"/>
  <c r="K48" i="1"/>
  <c r="K52" i="1"/>
  <c r="K53" i="1"/>
  <c r="K54" i="1"/>
  <c r="K55" i="1"/>
  <c r="K56" i="1"/>
  <c r="K69" i="1"/>
  <c r="K70" i="1"/>
  <c r="K72" i="1"/>
  <c r="K73" i="1"/>
  <c r="K74" i="1"/>
  <c r="K19" i="1"/>
  <c r="G18" i="12" l="1"/>
  <c r="E12" i="12"/>
  <c r="K93" i="1" l="1"/>
  <c r="K96" i="1" s="1"/>
  <c r="C16" i="12" l="1"/>
  <c r="J16" i="12" l="1"/>
  <c r="I16" i="12" s="1"/>
  <c r="L16" i="12"/>
  <c r="K16" i="12" s="1"/>
  <c r="H16" i="12"/>
  <c r="G16" i="12" s="1"/>
  <c r="I16" i="11"/>
  <c r="G20" i="11" l="1"/>
  <c r="E13" i="1" l="1"/>
  <c r="F13" i="1" s="1"/>
  <c r="G12" i="1" s="1"/>
  <c r="C10" i="12" s="1"/>
  <c r="I20" i="11"/>
  <c r="G82" i="1" l="1"/>
  <c r="H84" i="1" s="1"/>
  <c r="H10" i="12"/>
  <c r="F10" i="12"/>
  <c r="P10" i="12"/>
  <c r="O10" i="12" s="1"/>
  <c r="N10" i="12"/>
  <c r="M10" i="12" s="1"/>
  <c r="L10" i="12"/>
  <c r="K10" i="12" s="1"/>
  <c r="J10" i="12"/>
  <c r="I10" i="12" s="1"/>
  <c r="C34" i="12"/>
  <c r="D10" i="12" s="1"/>
  <c r="R10" i="12" l="1"/>
  <c r="G84" i="1"/>
  <c r="H85" i="1"/>
  <c r="H86" i="1" s="1"/>
  <c r="H89" i="1" s="1"/>
  <c r="G10" i="12"/>
  <c r="E10" i="12"/>
  <c r="D18" i="12"/>
  <c r="D16" i="12"/>
  <c r="D14" i="12"/>
  <c r="D24" i="12"/>
  <c r="D12" i="12"/>
  <c r="D26" i="12"/>
  <c r="D22" i="12"/>
  <c r="D28" i="12"/>
  <c r="D20" i="12"/>
  <c r="G93" i="1" l="1"/>
  <c r="G94" i="1" s="1"/>
  <c r="G97" i="1" s="1"/>
  <c r="I82" i="1"/>
  <c r="Q10" i="12"/>
  <c r="L34" i="12"/>
  <c r="K34" i="12" s="1"/>
  <c r="J34" i="12"/>
  <c r="I34" i="12" s="1"/>
  <c r="F34" i="12"/>
  <c r="D34" i="12"/>
  <c r="H34" i="12"/>
  <c r="G34" i="12" s="1"/>
  <c r="P34" i="12" l="1"/>
  <c r="O34" i="12" s="1"/>
  <c r="F38" i="12"/>
  <c r="H38" i="12" s="1"/>
  <c r="J38" i="12" s="1"/>
  <c r="L38" i="12" s="1"/>
  <c r="E34" i="12"/>
  <c r="N34" i="12"/>
  <c r="M34" i="12" s="1"/>
  <c r="N38" i="12" l="1"/>
  <c r="P38" i="12" s="1"/>
  <c r="E38" i="12"/>
  <c r="G38" i="12" l="1"/>
  <c r="I38" i="12" s="1"/>
  <c r="K38" i="12" s="1"/>
  <c r="M38" i="12" l="1"/>
  <c r="O38" i="12" s="1"/>
</calcChain>
</file>

<file path=xl/sharedStrings.xml><?xml version="1.0" encoding="utf-8"?>
<sst xmlns="http://schemas.openxmlformats.org/spreadsheetml/2006/main" count="2196" uniqueCount="502">
  <si>
    <t>PLANILHA ORÇAMENTÁRIA</t>
  </si>
  <si>
    <t>ITEM</t>
  </si>
  <si>
    <t>DESCRIÇÃO</t>
  </si>
  <si>
    <t>UNID</t>
  </si>
  <si>
    <t>QUANT.</t>
  </si>
  <si>
    <t>PREÇO</t>
  </si>
  <si>
    <t>PARCIAL</t>
  </si>
  <si>
    <t>UNITARIO</t>
  </si>
  <si>
    <t>TOTAL DO ITEM</t>
  </si>
  <si>
    <t>und</t>
  </si>
  <si>
    <t>2.0</t>
  </si>
  <si>
    <t>3.0</t>
  </si>
  <si>
    <t>m</t>
  </si>
  <si>
    <t>4.0</t>
  </si>
  <si>
    <t>5.0</t>
  </si>
  <si>
    <t>m²</t>
  </si>
  <si>
    <t>6.0</t>
  </si>
  <si>
    <t>6.1</t>
  </si>
  <si>
    <t>m³</t>
  </si>
  <si>
    <t>SUB TOTAL</t>
  </si>
  <si>
    <t>BDI =</t>
  </si>
  <si>
    <t>TOTAL COM BDI</t>
  </si>
  <si>
    <t>FAB DE SOUSA</t>
  </si>
  <si>
    <t>CONSULFAB</t>
  </si>
  <si>
    <t>CONSULTORIA E ENGENHARIA</t>
  </si>
  <si>
    <t>Serviços, Projetos, Fiscalização, Gerenciamento, Execução de Obras de Engenharia em Geral</t>
  </si>
  <si>
    <t>7.0</t>
  </si>
  <si>
    <t>OBRA:</t>
  </si>
  <si>
    <t>LOCAL:</t>
  </si>
  <si>
    <t xml:space="preserve"> COMPOSIÇÃO DE CUSTO UNITÁRIO - CCU</t>
  </si>
  <si>
    <t>Enc. Sociais : (horista)</t>
  </si>
  <si>
    <t>CLASSE</t>
  </si>
  <si>
    <t>COEF.</t>
  </si>
  <si>
    <t>PREÇO (R$)</t>
  </si>
  <si>
    <t>PREÇO TOTAL (R$)</t>
  </si>
  <si>
    <t>MAT</t>
  </si>
  <si>
    <t>UND</t>
  </si>
  <si>
    <t>MO</t>
  </si>
  <si>
    <t>H</t>
  </si>
  <si>
    <t>PREÇO (mão-de-obra):</t>
  </si>
  <si>
    <t>PREÇO (material):</t>
  </si>
  <si>
    <t xml:space="preserve">LS(%): </t>
  </si>
  <si>
    <t xml:space="preserve">BDI(%): </t>
  </si>
  <si>
    <t>PREÇO TOTAL + LS (R$):</t>
  </si>
  <si>
    <t>PREÇO TOTAL UNIT. (c/ BDI):</t>
  </si>
  <si>
    <t>Eng° Francisco de Assis Barbosa de Sousa</t>
  </si>
  <si>
    <t>CREA - 4384-D - AM</t>
  </si>
  <si>
    <t>h</t>
  </si>
  <si>
    <t>kg</t>
  </si>
  <si>
    <t>TOTAL</t>
  </si>
  <si>
    <t>ESP.</t>
  </si>
  <si>
    <t>QUANT</t>
  </si>
  <si>
    <t>P.  UNIT</t>
  </si>
  <si>
    <t>MÊS</t>
  </si>
  <si>
    <t>MOVIMENTO DE TERRA</t>
  </si>
  <si>
    <t>8.0</t>
  </si>
  <si>
    <t>9.0</t>
  </si>
  <si>
    <t>10.0</t>
  </si>
  <si>
    <t>ARGAMASSA TRAÇO 1:4 (CIMENTO E AREIA MÉDIA)</t>
  </si>
  <si>
    <t>Engª Hudson Mar Simith de Oliveira</t>
  </si>
  <si>
    <t>CREA - 6037-D - AM/RR</t>
  </si>
  <si>
    <t>und.</t>
  </si>
  <si>
    <t xml:space="preserve">OBRA: </t>
  </si>
  <si>
    <t>0.1</t>
  </si>
  <si>
    <t>EQUIP</t>
  </si>
  <si>
    <t>PREÇO (equipamento):</t>
  </si>
  <si>
    <t>Enc. Sociais : (Mensalista)</t>
  </si>
  <si>
    <t>l</t>
  </si>
  <si>
    <t>areia grossa</t>
  </si>
  <si>
    <t>Concreto estrutural FCK 25 MPA, virado em betoneira, na obra, sem ançamento</t>
  </si>
  <si>
    <t>Areia média</t>
  </si>
  <si>
    <t>Cimento Portland comum CP I - 32</t>
  </si>
  <si>
    <t>Pedra britada nº2 ou 25mm posto pedreira (sem FR)</t>
  </si>
  <si>
    <t>Pedra britada nº1 ou 19mm posto pedreira (sem FR)</t>
  </si>
  <si>
    <t>Betoneira 580L elétrica trifásica 7,5HP com carregador</t>
  </si>
  <si>
    <t>Lançamento manual de concreto em estrutura, incluso vibração</t>
  </si>
  <si>
    <t>Vibrador de imersão com motor elétrico 2HP monofasico</t>
  </si>
  <si>
    <t>Arame recozido 18 BWG - 1,25mm - 9,60 G/M</t>
  </si>
  <si>
    <t>6.2</t>
  </si>
  <si>
    <t>6.3</t>
  </si>
  <si>
    <t>6.4</t>
  </si>
  <si>
    <t>PREÇO (serviço):</t>
  </si>
  <si>
    <t>MANAUS /AM.</t>
  </si>
  <si>
    <t>CIDADE:</t>
  </si>
  <si>
    <t>MANAUS/AM</t>
  </si>
  <si>
    <t>Rua Edealina, 85 – Loteamento do Monte Sinai – Cidade Nova I</t>
  </si>
  <si>
    <t>CEP : 69.090-750  -  Manaus / Amazonas</t>
  </si>
  <si>
    <t>CNPJ : 03.489.595/0001-89</t>
  </si>
  <si>
    <t>DISCRIMINAÇÃO</t>
  </si>
  <si>
    <t>PERCENTUAL</t>
  </si>
  <si>
    <t>(%)</t>
  </si>
  <si>
    <t>%</t>
  </si>
  <si>
    <t>Valor</t>
  </si>
  <si>
    <t>1.00</t>
  </si>
  <si>
    <t>2.00</t>
  </si>
  <si>
    <t>3.00</t>
  </si>
  <si>
    <t>4.00</t>
  </si>
  <si>
    <t>5.00</t>
  </si>
  <si>
    <t>6.00</t>
  </si>
  <si>
    <t>7.00</t>
  </si>
  <si>
    <t>8.00</t>
  </si>
  <si>
    <t>TOTAL GERAL</t>
  </si>
  <si>
    <t>TOTAL E PERCENTUAL MENSAL</t>
  </si>
  <si>
    <t>TOTAL E PERCENTUAL ACUMULADO</t>
  </si>
  <si>
    <t>9.00</t>
  </si>
  <si>
    <t>30 DIAS</t>
  </si>
  <si>
    <t>60 DIAS</t>
  </si>
  <si>
    <t xml:space="preserve">                             CRONOGRAMA FÍSICO FINANCEIRO                                    </t>
  </si>
  <si>
    <t>PRAZO(Dias), VALOR(R$) e PERCENTUAL(%)</t>
  </si>
  <si>
    <t>0.00</t>
  </si>
  <si>
    <t>18.00</t>
  </si>
  <si>
    <t>Projetos, Fiscalização, Gerenciamento, Execução de Obras de Engenharia em Geral</t>
  </si>
  <si>
    <t>ENCARGOS SOCIAIS SOBRE MÃO DE OBRA</t>
  </si>
  <si>
    <t>CÓDIGO</t>
  </si>
  <si>
    <t>COM DESONERAÇÃO</t>
  </si>
  <si>
    <t>SEM DESENORAÇÃO</t>
  </si>
  <si>
    <t>HORISTA  %</t>
  </si>
  <si>
    <t>MENSALISTA  %</t>
  </si>
  <si>
    <t>GRUPO 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</si>
  <si>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</si>
  <si>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</si>
  <si>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</si>
  <si>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</si>
  <si>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</si>
  <si>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</si>
  <si>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</si>
  <si>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</si>
  <si>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</si>
  <si>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</si>
  <si>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</si>
  <si>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SALARIO EDUCAÇÃO</t>
  </si>
  <si>
    <t>A7</t>
  </si>
  <si>
    <t>SEGURO CONTRA ACID. TRABALHO</t>
  </si>
  <si>
    <t>A8</t>
  </si>
  <si>
    <t>FGTS</t>
  </si>
  <si>
    <t>A9</t>
  </si>
  <si>
    <t>SECONCI</t>
  </si>
  <si>
    <t>A</t>
  </si>
  <si>
    <t>GRUPO  B</t>
  </si>
  <si>
    <t>B1</t>
  </si>
  <si>
    <t>REPOUSO SEMANAL REMUNERADO</t>
  </si>
  <si>
    <t>B2</t>
  </si>
  <si>
    <t>FERIADOS</t>
  </si>
  <si>
    <t>B3</t>
  </si>
  <si>
    <t>AUXILIO - ENFERMIDADE</t>
  </si>
  <si>
    <t>B4</t>
  </si>
  <si>
    <t>13° SALARIO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</si>
  <si>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</si>
  <si>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</si>
  <si>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</si>
  <si>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</si>
  <si>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</si>
  <si>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</si>
  <si>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</si>
  <si>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AUXILIO ACIDENTE DE TRABALHO</t>
  </si>
  <si>
    <t>B9</t>
  </si>
  <si>
    <t>FÉRIAS GOZADAS</t>
  </si>
  <si>
    <t>B10</t>
  </si>
  <si>
    <t>SALÁRIO MATERNIDADE</t>
  </si>
  <si>
    <t>B</t>
  </si>
  <si>
    <t xml:space="preserve">TOTAL </t>
  </si>
  <si>
    <t>GRUPO 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</si>
  <si>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</si>
  <si>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</si>
  <si>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</si>
  <si>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</si>
  <si>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</si>
  <si>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</si>
  <si>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</si>
  <si>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</si>
  <si>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</si>
  <si>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</si>
  <si>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</si>
  <si>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 D</t>
  </si>
  <si>
    <t>D1</t>
  </si>
  <si>
    <t>REINCIDENCIA DO GRUPO A SOBRE GRUPO B</t>
  </si>
  <si>
    <t>D2</t>
  </si>
  <si>
    <t>REINCIDENCIA DO GRUPO A SOBRE AVISO PRÉVIO TRABALHADO E REINCIDENCIA DO FGTS SOBRE AVISO PRÉVIO INDENIZADO</t>
  </si>
  <si>
    <t>D</t>
  </si>
  <si>
    <t>TOTAL  ( A+B+C+D )</t>
  </si>
  <si>
    <t>Engª Civil Elizete Pereira Costa</t>
  </si>
  <si>
    <t>CREA - 6902-D - AM/RR</t>
  </si>
  <si>
    <t>E-mail : fabdesousa.eng@gmail.com</t>
  </si>
  <si>
    <t>PLANILHA ANALITICA DE COMPOSIÇÃO DO BDI</t>
  </si>
  <si>
    <t>TAXAS DE BONIFICAÇÃO E DESPESAS INDIRETAS</t>
  </si>
  <si>
    <t>FOLHA</t>
  </si>
  <si>
    <t>CÓDIGO DO DOCUMENTO</t>
  </si>
  <si>
    <t>total</t>
  </si>
  <si>
    <t>Lucro Bruto</t>
  </si>
  <si>
    <t>Tributos</t>
  </si>
  <si>
    <t>Pis</t>
  </si>
  <si>
    <t>Cofins</t>
  </si>
  <si>
    <t>ISS</t>
  </si>
  <si>
    <t>CPRB</t>
  </si>
  <si>
    <t>FÓRMULA DO BDI</t>
  </si>
  <si>
    <t>A=</t>
  </si>
  <si>
    <t>B=</t>
  </si>
  <si>
    <t>C=</t>
  </si>
  <si>
    <t>INSTITUTO FEDERAL DE EDUCAÇÃO CIÊNCIA E TECNOLOGIA DO AMAZONAS - IFAM</t>
  </si>
  <si>
    <t>CONSTRUÇÃO DO MURO DE COTENÇÃO EM ALVENARIA ESTRUTURAL DO ESTACIONAMENTO DO PRÉDIO DA REITORIA DO IFAM</t>
  </si>
  <si>
    <t>ADMINISTRAÇÃO DA OBRA</t>
  </si>
  <si>
    <t xml:space="preserve">Engenheiro Civil </t>
  </si>
  <si>
    <t>Encarregado Geral</t>
  </si>
  <si>
    <t>Placa da Obra em lona com impressão digital - fornecimento e instalação</t>
  </si>
  <si>
    <t>Tapume com  telha trapezoidal reaproveitamento de 3 x</t>
  </si>
  <si>
    <t>01.01</t>
  </si>
  <si>
    <t>01.02</t>
  </si>
  <si>
    <t>01.03</t>
  </si>
  <si>
    <t>Prego com cabeça  polido de aço 16 x 24</t>
  </si>
  <si>
    <t>01.04</t>
  </si>
  <si>
    <t>Tapume com telha trapezoidal -reaproveitamento 3 x</t>
  </si>
  <si>
    <t>02.01</t>
  </si>
  <si>
    <t>Demolição de Alvenaria de Tijolos Furados</t>
  </si>
  <si>
    <t>02.02</t>
  </si>
  <si>
    <t>Remoção Manual de Entulhos</t>
  </si>
  <si>
    <t>03.01</t>
  </si>
  <si>
    <t>Escavação Manual de valas em terra compactada prof. 0m &lt; h&lt;= 1m</t>
  </si>
  <si>
    <t>03.02</t>
  </si>
  <si>
    <t>03.03</t>
  </si>
  <si>
    <t>03.04</t>
  </si>
  <si>
    <t>04.01</t>
  </si>
  <si>
    <t>04.02</t>
  </si>
  <si>
    <t>Cinta de amarração de alvenaria moldada in loco com a utilização de blocos canaletas estrutural de 19x19x39</t>
  </si>
  <si>
    <t>04.03</t>
  </si>
  <si>
    <t>Grauteamento Vertical em Alvenaria de Blocos Estrural</t>
  </si>
  <si>
    <t>Aço CA - 16,00 mm</t>
  </si>
  <si>
    <t>DEMOLIÇÕES E REMOÇÕES</t>
  </si>
  <si>
    <t>Demolição de alvenaria de tijolos furados s/ reaproveitamento</t>
  </si>
  <si>
    <t>Remoção manual de entulho</t>
  </si>
  <si>
    <t>Escavação manual de valas em terra compacta, prof. De 0 m &lt; h &lt;=1m</t>
  </si>
  <si>
    <t>Escavaçã vertical a céu aberto,m incluindo carga, descarga e tranporte, em solo de 1ªcategoria com escavadeira hidraulica (caçamba: 1,2m³/ 155Hp), frota de 7 caminhões basculante de 18m³, dmt de 8km e velocidade média 35km/h. AFM_12/2013</t>
  </si>
  <si>
    <t>Compactação mecânica, sem controle do GC (c/compactador placa 400kg)</t>
  </si>
  <si>
    <t>Alvenaria estrutural de blocos de concreto 19x19x39, (espessura de 19cm), para pardes com areas liquidas maior ou igual  que 6m², sem vãos, utilizando palheta e argamassa de assentamento com preparo manual. AF_12/2014</t>
  </si>
  <si>
    <t>Grauteamenbto vertical em alvenaria estrutural. AF_01/2015</t>
  </si>
  <si>
    <t>Armação vertical de alvenaria estrutural; diametro de 16,0mm.</t>
  </si>
  <si>
    <t>Armação vertical de alvenaria estrutural; diametro de 10,0mm. AF_01/2015</t>
  </si>
  <si>
    <t>Tratamento em alvenaria de concreto com estuque</t>
  </si>
  <si>
    <t>FUNDAÇÃO</t>
  </si>
  <si>
    <t>ALVENARIA ESTRUTURAL (MURO)</t>
  </si>
  <si>
    <t xml:space="preserve">m </t>
  </si>
  <si>
    <t>Estaca a trado (broca) diametro 40cm em concreto armado moldado in-loco, 20Mpa</t>
  </si>
  <si>
    <t>Forma tabua p/ concreto em fundação radier c/ reaproveitamento 3x</t>
  </si>
  <si>
    <t>Concreto FCK=25Mpa, virado em betoneira, sem laçamento</t>
  </si>
  <si>
    <t>Lançamento/aplicação manual de concreto em fundações</t>
  </si>
  <si>
    <t>VIGA SUPERIOR</t>
  </si>
  <si>
    <t>Montagem e desmontagem de forma de viga, escoramento com pontalete de madeira, pé-direito simples, em madeira serrada, 4 utilizações. AF_12/2015</t>
  </si>
  <si>
    <t>Armação de fundações e estruturas de concreto armado, exceto vigas, pilares e lajes (de edificios de multiplos pavimentos, edificação térrea ou sobrado) utilizando aço CA-50 de 16,0mm - montagem. AF_12/2015</t>
  </si>
  <si>
    <t>Armação de fundações e estruturas de concreto armado, exceto vigas, pilares e lajes (de edificios de multiplos pavimentos, edificação térrea ou sobrado) utilizando aço CA-50 de 12,5mm - montagem. AF_12/2015</t>
  </si>
  <si>
    <t>Armação de fundações e estruturas de concreto armado, exceto vigas, pilares e lajes (de edificios de multiplos pavimentos, edificação térrea ou sobrado) utilizando aço CA-50 de 10,0mm - montagem. AF_12/2015</t>
  </si>
  <si>
    <t>Armação de fundações e estruturas de concreto armado, exceto vigas, pilares e lajes (de edificios de multiplos pavimentos, edificação térrea ou sobrado) utilizando aço CA-50 de 6,3mm - montagem. AF_12/2015</t>
  </si>
  <si>
    <t>Armação de pilar ou viga de uma estrutura convencional de concreto armado em uma edificação térrea ou sobrado utilizando aço CA-50 de 6,3mm - montagem. AF_12/2015</t>
  </si>
  <si>
    <t>Armação de pilar ou viga de uma estrutura convencional de concreto armado em uma edificação térrea ou sobrado utilizando aço CA-50 de 5,0mm - montagem. AF_12/2015</t>
  </si>
  <si>
    <t>Armação de pilar ou viga de uma estrutura convencional de concreto armado em uma edificação térrea ou sobrado utilizando aço CA-50 de 10,0mm - montagem. AF_12/2015</t>
  </si>
  <si>
    <t>04.04</t>
  </si>
  <si>
    <t>04.05</t>
  </si>
  <si>
    <t>04.06</t>
  </si>
  <si>
    <t>04.07</t>
  </si>
  <si>
    <t>05.01</t>
  </si>
  <si>
    <t>05.02</t>
  </si>
  <si>
    <t>05.03</t>
  </si>
  <si>
    <t>05.04</t>
  </si>
  <si>
    <t>05.05</t>
  </si>
  <si>
    <t>05.06</t>
  </si>
  <si>
    <t>05.07</t>
  </si>
  <si>
    <t>05.08</t>
  </si>
  <si>
    <t>05.09</t>
  </si>
  <si>
    <t>06.01</t>
  </si>
  <si>
    <t>06.02</t>
  </si>
  <si>
    <t>06.03</t>
  </si>
  <si>
    <t>06.04</t>
  </si>
  <si>
    <t>06.05</t>
  </si>
  <si>
    <t>INSTAÇÕES E DRENAGEM</t>
  </si>
  <si>
    <t>07.01</t>
  </si>
  <si>
    <t>Fornecimento/instalção de manta geotextil MACDRAIN 2l ou equivalente</t>
  </si>
  <si>
    <t>Tubo PVC corrugado rígido perfurado DN 150 para drenagem - fornecimento e instalação</t>
  </si>
  <si>
    <t>Impermeabilização de superficie com revestimento bicomponente semi flexivel. Co utilização de 3,5kg/m</t>
  </si>
  <si>
    <t>Joelho 90 graus, PVC, SERIE R, água pluvial, DN 150mm, junta elástica, fornecido e instalado em condutores verticais de água pluviais. AF_12/2014</t>
  </si>
  <si>
    <t>TÊ, PVC, SERIE R, água pluvial, DN 150X150 mm, junta elástica, fornecido e instalado em condutores verticais de água pluviais. AF_12/2014</t>
  </si>
  <si>
    <t>Caixa de inspeção 80x80x80cm em alvenaria - execução</t>
  </si>
  <si>
    <t>Tubo concreto simples DN 200mm para drenagem - fornecimento e instalação, inclusive escavação manual 1m³/m</t>
  </si>
  <si>
    <t>Demolição de concreto simples</t>
  </si>
  <si>
    <t>Passeio em concreto desempenado, traço 1:2,5:3,5 e espessura 5 cm</t>
  </si>
  <si>
    <t>08.01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</si>
  <si>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</si>
  <si>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</si>
  <si>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</si>
  <si>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</si>
  <si>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</si>
  <si>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</si>
  <si>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</si>
  <si>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</si>
  <si>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</si>
  <si>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07.11</t>
  </si>
  <si>
    <t>07.12</t>
  </si>
  <si>
    <t>ELEMENTOS DE APOIO</t>
  </si>
  <si>
    <t>Custo horario produtivo diurno - guincho 8t munk - 640/18 sem caminhão mercedes benz 1418/51 184hp</t>
  </si>
  <si>
    <t>Caminhão para equipamento de limpeza a sucção, com caminhão trucado de peso bruto total 23000 kg, carga útil máxima 15935 kg, distancia entre eixos 4,80m, potência 230 cv, inclusive limpadora a sucção, tanque 12000L CHP diurno. AF_11/2015</t>
  </si>
  <si>
    <t>ELEMENTOS DE SERRALHERIA</t>
  </si>
  <si>
    <t>09.01</t>
  </si>
  <si>
    <t>chp</t>
  </si>
  <si>
    <t>10.01</t>
  </si>
  <si>
    <t>10.02</t>
  </si>
  <si>
    <t>10.03</t>
  </si>
  <si>
    <t>10.04</t>
  </si>
  <si>
    <t>08.02</t>
  </si>
  <si>
    <t>REPOSICIONAMENTO DE ETE</t>
  </si>
  <si>
    <t>Envelope de concreto p/ proteção de tubo de PVC enterrado (M)</t>
  </si>
  <si>
    <t>Tubo PVC, SERIE normal, esgoto predial, DN 50mm, fornecido e instalado em ramal de descarga ou ramal de esgoto sanitário. AF_12/2014_P</t>
  </si>
  <si>
    <t>Tubo PVC, SERIE normal, esgoto predial, DN 100mm, fornecido e instalado em ramal de descarga ou ramal de esgoto sanitário. AF_12/2014_P</t>
  </si>
  <si>
    <t>Piso em concreto 20Mpa preparo mecanico, espessura 7 cm, com armação em tela soldada</t>
  </si>
  <si>
    <t>Armação de fundações e estruturas de concreto armado, exceto vigas, pilares e lajes (de edificios de multiplos pavimentos, edificação térrea ou sobrado) utilizando aço CA-50 de 16,0mm - montagem.</t>
  </si>
  <si>
    <t>Montagem e desmontagem de forma de viga, escoramento com pontalete de madeira, pé-direito simples, em madeira serrada, 4 utilizações</t>
  </si>
  <si>
    <t>Camada drenante com brita n° 0</t>
  </si>
  <si>
    <t>lt</t>
  </si>
  <si>
    <t xml:space="preserve">Tubo PVC DN 1" com material drenante para dreno/barbacã - fornecimento e instalação </t>
  </si>
  <si>
    <t>Joelho 90 graus, PVC, SERIE R, água pluvial, DN 150mm, junta elástica, fornecido e instalado em condutores verticais de água pluviais.</t>
  </si>
  <si>
    <t xml:space="preserve">TÊ, PVC, SERIE R, água pluvial, DN 150X150 mm, junta elástica, fornecido e instalado em condutores verticais de água pluviais. </t>
  </si>
  <si>
    <t>TÊ, PVC, SERIE R, água pluvial, DN 150X150 mm, junta elástica.</t>
  </si>
  <si>
    <t>Caminhão para equipamento de limpeza a sucção, com caminhão trucado de peso bruto total 23000 kg, carga útil máxima 15935 kg, distancia entre eixos 4,80m, potência 230 cv, inclusive limpadora a sucção, tanque 12000L CHP diurno.</t>
  </si>
  <si>
    <t xml:space="preserve">Grade de ferro em barra chata 3/16" fornecimento e instalação </t>
  </si>
  <si>
    <t xml:space="preserve">Tubo PVC, SERIE normal, esgoto predial, DN 50mm, fornecido e instalado em ramal de descarga ou ramal de esgoto sanitário. </t>
  </si>
  <si>
    <t>Tubo PVC, SERIE normal, esgoto predial, DN 100mm, fornecido e instalado em ramal de descarga ou ramal de esgoto sanitário</t>
  </si>
  <si>
    <t>10 DIAS</t>
  </si>
  <si>
    <t>20 DIAS</t>
  </si>
  <si>
    <t>40 DIAS</t>
  </si>
  <si>
    <t>50 DIAS</t>
  </si>
  <si>
    <t>Taxa de Rateio de Administração Central</t>
  </si>
  <si>
    <t>AC</t>
  </si>
  <si>
    <t>Taxa de Despesa Financeira</t>
  </si>
  <si>
    <t>DF</t>
  </si>
  <si>
    <t>Taxa de Risco</t>
  </si>
  <si>
    <t>R</t>
  </si>
  <si>
    <t>Taxa de Seguro e Garantia do Empreendimento</t>
  </si>
  <si>
    <t>S+G</t>
  </si>
  <si>
    <t>L</t>
  </si>
  <si>
    <t>I</t>
  </si>
  <si>
    <t>BDI = {[((1+AC+S+R+G)x(1+DF)x(1+L))/(1-I)]-1</t>
  </si>
  <si>
    <t>01.01.01</t>
  </si>
  <si>
    <t>01.02.01</t>
  </si>
  <si>
    <t>PREÇO (outros):</t>
  </si>
  <si>
    <t>ESCAVADEIRA HIDRÁULICA SOBRE ESTEIRAS, CAÇAMBA 1,20 M3, PESO OPERACIONAL 21 T, POTÊNCIA BRUTA 155 HP - CHP DIURNO.</t>
  </si>
  <si>
    <t xml:space="preserve">CAMINHÃO BASCULANTE 18 M3, COM CAVALO MECÂNICO DE CAPACIDADE MÁXIMA DE TRAÇÃO COMBINADO DE 45000 KG, POTÊNCIA 330 CV, INCLUSIVE SEMIREBOQUE COM CAÇA
MBA METÁLICA - CHP DIURNO. </t>
  </si>
  <si>
    <t xml:space="preserve">CAMINHÃO BASCULANTE 18 M3, COM CAVALO MECÂNICO DE CAPACIDADE MÁXIMA DE TRAÇÃO COMBINADO DE 45000 KG, POTÊNCIA 330 CV, INCLUSIVE SEMIREBOQUE COM CAÇA
MBA METÁLICA - CHI DIURNO. </t>
  </si>
  <si>
    <t>ESCAVADEIRA HIDRÁULICA SOBRE ESTEIRAS, CAÇAMBA 1,20 M3, PESO OPERACIONAL 21 T, POTÊNCIA BRUTA 155 HP - CHI DIURNO</t>
  </si>
  <si>
    <t>SERVENTE COM ENCARGOS COMPLEMENTARES</t>
  </si>
  <si>
    <t>ARGILA, ARGILA VERMELHA OU ARGILA ARENOSA (RETIRADA NA JAZIDA, SEM TRANSPORTE)</t>
  </si>
  <si>
    <t>GRAUTE FGK=20 MPA; TRAÇO 1:0,04:1,6:1,9 (CIMENTO/ CAL/ AREIA GROSSA/ BRITA 0) PREPARO MECÂNICO COM BETONEIRA 400 L.</t>
  </si>
  <si>
    <t>Cimento Branco</t>
  </si>
  <si>
    <t>Cola Branca</t>
  </si>
  <si>
    <t>Cimento Portland Composto CPII-32</t>
  </si>
  <si>
    <t>OPERADOR DE MÁQUINAS E EQUIPAMENTOS COM ENCARGOS COMPLEMENTARES</t>
  </si>
  <si>
    <t>BETONEIRA CAPACIDADE NOMINAL DE 600 L, CAPACIDADE DE MISTURA 440 L</t>
  </si>
  <si>
    <t>AREIA MEDIA - POSTO JAZIDA/FORNECEDOR (SEM FRETE)</t>
  </si>
  <si>
    <t>CIMENTO PORTLAND COMPOSTO CP II-32</t>
  </si>
  <si>
    <t>PEDRA BRITADA N. 1 (9,5 a 19 MM) POSTO PEDREIRA/FORNECEDOR, SEM FRETE</t>
  </si>
  <si>
    <t>PEDREIRO COM ENCARGOS COMPLEMENTARES</t>
  </si>
  <si>
    <t>73972/002</t>
  </si>
  <si>
    <t xml:space="preserve">PREÇO TOTAL UNIT. </t>
  </si>
  <si>
    <t>Concreto FCK= 20Mpa virado em Betoneira sem lançamento (traço = 1:2½:3½)</t>
  </si>
  <si>
    <t>CONCRETO FCK=20MPA, VIRADO EM BETONEIRA, SEM LANCAMENTO</t>
  </si>
  <si>
    <t>ESPAÇADOR PLÁSTICO</t>
  </si>
  <si>
    <t>Lastro de concreto, preparo mecanico</t>
  </si>
  <si>
    <t>Servente com encargos complementares</t>
  </si>
  <si>
    <t>Pedreiro com encargos complementares</t>
  </si>
  <si>
    <t>PREÇO TOTAL UNIT. :</t>
  </si>
  <si>
    <t>LASTRO DE CONCRETO, PREPARO MECANICO</t>
  </si>
  <si>
    <t>Frete</t>
  </si>
  <si>
    <t>ENCANADOR OU BOMBEIRO HIDRÁULICO COM ENCARGOS COMPLEMENTARES</t>
  </si>
  <si>
    <t>TUBO PVC, RIGIDO, CORRUGADO, PERFURADO, DN 150 MM, PARA DRENAGEM, SISTEMA IRRIGACAO</t>
  </si>
  <si>
    <t>M³</t>
  </si>
  <si>
    <t>PEDRA BRITADA N. 3 (38 A 50 MM) POSTO PEDREIRA/FORNECEDOR, SEM FRETE</t>
  </si>
  <si>
    <t>AUXILIAR DE ENCANADOR OU BOMBEIRO HIDRÁULICO COM ENCARGOS COMPLEMENTARES</t>
  </si>
  <si>
    <t>JOELHO PVC SERIE R P/ ESG PREDIAL 90G DN 150 MM</t>
  </si>
  <si>
    <t>ANEL BORRACHA, DN 150 MM, PARA TUBO SERIE REFORCADA ESGOTO PREDIAL</t>
  </si>
  <si>
    <t>PASTA LUBRIFICANTE PARA USO EM TUBOS DE PVC COM ANEL DE BORRACHA (POTE DE 400* G)</t>
  </si>
  <si>
    <t>ARGAMASSA TRAÇO 1:4 (CIMENTO E AREIA MÉDIA) PARA CONTRAPISO, PREPARO MANUAL. AF_06</t>
  </si>
  <si>
    <t>PECA DE MADEIRA NATIVA / REGIONAL 7,5 X 7,5CM (3X3) NAO APARELHADA (P/FORMA)</t>
  </si>
  <si>
    <t>!EM PROCESSO DE DESATIVACAO! PECA DE MADEIRANATIVA/REGIONAL 2,5 X 10CM (1X4") NAO APARELHADA (SARRAFO-P/FORMA)</t>
  </si>
  <si>
    <t>PREGO POLIDO COM CABECA 18 X 27</t>
  </si>
  <si>
    <t>TABUA MADEIRA 2A QUALIDADE 2,5 X 30,0CM (1 X 12") NAO APARELHADA</t>
  </si>
  <si>
    <t>CARPINTEIRO DE FORMAS COM ENCARGOS COMPLEMENTARES</t>
  </si>
  <si>
    <t>ARGAMASSA TRAÇO 1:4 (CIMENTO E AREIA MÉDIA) PARA CONTRAPISO, PREPARO MANUAL</t>
  </si>
  <si>
    <t>ACO CA-50, 12,5 MM, VERGALHAO</t>
  </si>
  <si>
    <t>BLOCO CERAMICO (ALVENARIA DE VEDACAO), 8 FUROS, DE 9 X 19 X 19 CM</t>
  </si>
  <si>
    <t>CIMENTO PORTLAND POZOLANICO CP IV- 32</t>
  </si>
  <si>
    <t>SERRALHEIRO COM ENCARGOS COMPLEMENTARES</t>
  </si>
  <si>
    <t>Concreto FCK= 20Mpa virado em Betoneira sem lançamento (traço = 1:2½:3½) com (tela # 10 x 10 )</t>
  </si>
  <si>
    <t>ARMADOR COM ENCARGOS COMPLEMENTARES</t>
  </si>
  <si>
    <t>TELA DE ACO SOLDADA NERVURADA, CA-60, Q-196, (3,11 KG/M2), DIAMETRO DO FIO = 5,0 MM, LARGURA = 2,45 M, ESPACAMENTO DA MALHA = 10 X 10 CM</t>
  </si>
  <si>
    <t>Carpinteiro  com encargos complementares</t>
  </si>
  <si>
    <t>pedreiro COM ENCARGOS COMPLEMENTARES</t>
  </si>
  <si>
    <t>servente COM ENCARGOS COMPLEMENTARES</t>
  </si>
  <si>
    <t>Armador COM ENCARGOS COMPLEMENTARES</t>
  </si>
  <si>
    <t>Ajudante Armador COM ENCARGOS COMPLEMENTARES</t>
  </si>
  <si>
    <t>Servente COM ENCARGOS COMPLEMENTARES</t>
  </si>
  <si>
    <t>Carpinteiro COM ENCARGOS COMPLEMENTARES</t>
  </si>
  <si>
    <t>Ajudante COM ENCARGOS COMPLEMENTARES</t>
  </si>
  <si>
    <t>Pedreiro COM ENCARGOS COMPLEMENTARES</t>
  </si>
  <si>
    <t>Ajudante de pedreiro COM ENCARGOS COMPLEMENTARES</t>
  </si>
  <si>
    <t>GRUPO E</t>
  </si>
  <si>
    <t>E1</t>
  </si>
  <si>
    <t>Transporte</t>
  </si>
  <si>
    <t>E2</t>
  </si>
  <si>
    <t>Alimentação</t>
  </si>
  <si>
    <t>E3</t>
  </si>
  <si>
    <t>Seguro de Vida em Grupo</t>
  </si>
  <si>
    <t>E4</t>
  </si>
  <si>
    <t>EPI´S e Ferramentas</t>
  </si>
  <si>
    <t>E</t>
  </si>
  <si>
    <t>Total dos Encargos Sociais Complementares</t>
  </si>
  <si>
    <t>Eng° Civil Hudson Mar Smith de Oliveira</t>
  </si>
  <si>
    <t>CREA -  6037-D - AM/RR</t>
  </si>
  <si>
    <t>TOTAL  ( A+B+C+D+E )</t>
  </si>
  <si>
    <t>ENGENHEIRO CIVIL DE OBRA JUNIOR COM ENCARGOS COMPLEMENTARES</t>
  </si>
  <si>
    <t>E5</t>
  </si>
  <si>
    <t>Exame</t>
  </si>
  <si>
    <t>ENCARREGADO GERAL COM ENCARGOS COMPLEMENTARES</t>
  </si>
  <si>
    <t>Placa de Obra em lona com impressão digital - fornecimento e instalação</t>
  </si>
  <si>
    <t>Lona com Impressão Digital</t>
  </si>
  <si>
    <t>Telha de aço zincado trapezoidal A=40mm e=0,5mm , sem pintura</t>
  </si>
  <si>
    <t>Reatero apiloado em camadas de 0,20m utilizando material argilo-arenoso adquirido em jazida, já considerando um acréscimo de 25% no volume do material adquirico não considerando o transporte até o reaterro</t>
  </si>
  <si>
    <t>PLACA VIBRATÓRIA REVERSÍVEL COM MOTOR 4 TEMPOS A GASOLINA, FORÇA CENTRÍFUG CHP A DE 25 KN (2500 KGF), POTÊNCIA 5,5 CV - CHP DIURNO.</t>
  </si>
  <si>
    <t>COMPACTACAO MECANICA, SEM CONTROLE DO GC (C/COMPACTADOR PLACA 400 KG)</t>
  </si>
  <si>
    <t>Blocos de Concreto estrutural 19x19x39cm, FBK 12 MPa, NBR 6136</t>
  </si>
  <si>
    <t>CORTE E DOBRA DE AÇO CA-50, DIÂMETRO DE 8.0 MM, UTILIZADO EM ESTRUTURAS DIVERSAS, EXCETO LAJES. AF_12/2015</t>
  </si>
  <si>
    <t>ESPACADOR / DISTANCIADOR EM PLASTICO</t>
  </si>
  <si>
    <t>ARAME RECOZIDO 18 BWG, 1,25 MM (0,01 KG/M)</t>
  </si>
  <si>
    <t>Aço CA - 50 , 16,00 mm, vergalhão</t>
  </si>
  <si>
    <t>ARMAÇÃO VERTICAL DE ALVENARIA ESTRUTURAL; DIÂMETRO DE 10,0 MM. AF_01/2015</t>
  </si>
  <si>
    <t>ACO CA-50, 10,0 MM, VERGALHAO</t>
  </si>
  <si>
    <t>ARMAÇÃO DE FUNDAÇÕES E ESTRUTURAS DE CONCRETO ARMADO, EXCETO VIGAS, PILARES E LAJES (DE EDIFÍCIOS DE MÚLTIPLOS PAVIMENTOS, EDIFICAÇÃO TÉRREA OU SOBR
ADO), UTILIZANDO AÇO CA-50 DE 12.5 MM - MONTAGEM. AF_12/2015</t>
  </si>
  <si>
    <t>CORTE E DOBRA DE AÇO CA-50, DIÂMETRO DE 12.5 MM, UTILIZADO EM ESTRUTURAS DIVERSAS, EXCETO LAJES. AF_12/2015</t>
  </si>
  <si>
    <t>CORTE E DOBRA DE AÇO CA-50, DIÂMETRO DE 10.0 MM, UTILIZADO EM ESTRUTURAS DIVERSAS, EXCETO LAJES. AF_12/2015</t>
  </si>
  <si>
    <t>ARMAÇÃO DE FUNDAÇÕES E ESTRUTURAS DE CONCRETO ARMADO, EXCETO VIGAS, PILARES E LAJES (DE EDIFÍCIOS DE MÚLTIPLOS PAVIMENTOS, EDIFICAÇÃO TÉRREA OU SOBR
ADO), UTILIZANDO AÇO CA-50 DE 10.0 MM - MONTAGEM. AF_12/2015</t>
  </si>
  <si>
    <t>ARMAÇÃO DE FUNDAÇÕES E ESTRUTURAS DE CONCRETO ARMADO, EXCETO VIGAS, PILARES E LAJES (DE EDIFÍCIOS DE MÚLTIPLOS PAVIMENTOS, EDIFICAÇÃO TÉRREA OU SOBR
ADO), UTILIZANDO AÇO CA-50 DE 6.3 MM - MONTAGEM. AF_12/2015</t>
  </si>
  <si>
    <t>CORTE E DOBRA DE AÇO CA-50, DIÂMETRO DE 6.3 MM, UTILIZADO EM ESTRUTURAS DIVERSAS, EXCETO LAJES. AF_12/2015</t>
  </si>
  <si>
    <t xml:space="preserve">ESPACADOR / DISTANCIADOR EM PLASTICO </t>
  </si>
  <si>
    <t>PECA DE MADEIRA 3A QUALIDADE 2,5 X 10CM NAO APARELHADA</t>
  </si>
  <si>
    <t>PREGO DE ACO POLIDO COM CABECA 18 X 27 (2 1/2 X 10)</t>
  </si>
  <si>
    <t>Operador de Betoneira com encargos complementares</t>
  </si>
  <si>
    <t>BETONEIRA CAPACIDADE NOMINAL DE 600 L, CAPACIDADE DE MISTURA 440 L, MOTOR A DIESEL POTENCIA 10 HP COM CARREGADOR - CHP DIURNO</t>
  </si>
  <si>
    <t>Cimento Portland composto CP II - 32</t>
  </si>
  <si>
    <t>VIBRADOR DE IMERSÃO, DIÂMETRO DE PONTEIRA 45MM, MOTOR ELÉTRICO TRIFÁSICO POTÊNCIA DE 2 CV - CHP DIURNO. AF_06/2015</t>
  </si>
  <si>
    <t>AJUDANTE DE CARPINTEIRO COM ENCARGOS COMPLEMENTARES</t>
  </si>
  <si>
    <t>FABRICAÇÃO DE FÔRMA PARA VIGAS, EM CHAPA DE MADEIRA COMPENSADA RESINADA, E= 17 MM. AF_12/2015</t>
  </si>
  <si>
    <t>FABRICAÇÃO DE ESCORAS DE VIGA DO TIPO GARFO, EM MADEIRA. AF_12/2015</t>
  </si>
  <si>
    <t>DESMOLDANTE PROTETOR PARA FORMAS DE MADEIRA, DE BASE OLEOSA EMULSIONADA EM AGUA</t>
  </si>
  <si>
    <t>PREGO DE ACO POLIDO COM CABECA DUPLA 17 X 27 (2 1/2 X 11)</t>
  </si>
  <si>
    <t>CORTE E DOBRA DE AÇO CA-60, DIÂMETRO DE 5.0 MM, UTILIZADO EM ESTRUTURAS DIVERSAS, EXCETO LAJES. AF_12/2015</t>
  </si>
  <si>
    <t>ARMAÇÃO DE PILAR OU VIGA DE UMA ESTRUTURA CONVENCIONAL DE CONCRETO ARMADO EM UMA EDIFÍCAÇÃO TÉRREA OU SOBRADO UTILIZANDO AÇO CA-60 DE 5.0 MM - MONTA</t>
  </si>
  <si>
    <t>ARMAÇÃO DE PILAR OU VIGA DE UMA ESTRUTURA CONVENCIONAL DE CONCRETO ARMADO EM UMA EDIFÍCAÇÃO TÉRREA OU SOBRADO UTILIZANDO AÇO CA-50 DE 10.0 MM - MONTAGEM. AF_12/2015</t>
  </si>
  <si>
    <t>CONCRETO MAGRO PARA LASTRO, TRAÇO 1:4,5:4,5 (CIMENTO/ AREIA MÉDIA/ BRITA 1) - PREPARO MECÂNICO COM BETONEIRA 400 L. AF_07/2016</t>
  </si>
  <si>
    <t>Cod. 94962</t>
  </si>
  <si>
    <t>Cod. 87373</t>
  </si>
  <si>
    <t>BETONEIRA CAPACIDADE NOMINAL DE 400 L, CAPACIDADE DE MISTURA 310 L, MOTOR ELÉTRICO TRIFÁSICO POTÊNCIA DE 2 HP, SEM CARREGADOR - CHP DIURNO. AF_10/2014</t>
  </si>
  <si>
    <t>BETONEIRA CAPACIDADE NOMINAL DE 400 L, CAPACIDADE DE MISTURA 310 L, MOTOR CHI ELÉTRICO TRIFÁSICO POTÊNCIA DE 2 HP, SEM CARREGADOR - CHI DIURNO. AF_10/20</t>
  </si>
  <si>
    <t>AREIA MEDIA - POSTO JAZIDA/FORNECEDOR (RETIRADO NA JAZIDA, SEM TRANSPORTE)</t>
  </si>
  <si>
    <t>212,21 KG</t>
  </si>
  <si>
    <t>PEDRA BRITADA N. 1 (9,5 a 19 MM) POSTO PEDREIRA/FORNECEDOR, SEM FRETE.</t>
  </si>
  <si>
    <t>TUBO DE CONCRETO SIMPLES, CLASSE- PS1, PB, DN 200 MM, PARA AGUAS PLUVIAIS (NBR 8890)</t>
  </si>
  <si>
    <t>TUBO CONCRETO SIMPLES DN 200 MM PARA DRENAGEM - FORNECIMENTO E INSTALACAO, INCLUSIVE ESCAVACAO MANUAL 1M3/M.</t>
  </si>
  <si>
    <t>Tábua de madeira 2ª qualidade, 2,5x30,0cm (1"x12") , não aparelhada</t>
  </si>
  <si>
    <t>PEDRA BRITADA N. 2 (19 a 38 MM) POSTO PEDREIRA/FORNECEDOR, SEM FRETE.</t>
  </si>
  <si>
    <t>CUSTO HORARIO C/ DEPRECIACAO E JUROS - GUINCHO 8 T MUNCK - 640/18 S/ CAMINHAO MERCEDES BENZ 1418/51 184 HP</t>
  </si>
  <si>
    <t>CUSTO HORARIO C/ MANUTENCAO - GUINCHO 8 T MUNCK - 640/18 S/ CAMINHAO MERCEDES BENZ 1418/51 184 HP</t>
  </si>
  <si>
    <t>CUSTO HORARIO C/ MATERIAIS NA OPERACAO - GUINCHO 8 T MUNCK - 640/18 S/ CAMINHAO MERCEDES BENZ 1418/51 184 HP</t>
  </si>
  <si>
    <t>MOTORISTA DE CAMINHÃO COM ENCARGOS COMPLEMENTARES</t>
  </si>
  <si>
    <t>CAMINHÃO PARA EQUIPAMENTO DE LIMPEZA A SUCÇÃO COM CAMINHÃO TRUCADO DE PESO BRUTO TOTAL 23000 KG, CARGA ÚTIL MÁXIMA 15935 KG, DISTÂNCIA ENTRE EIXOS 4,80 M, POTÊNCIA 230 CV, INCLUSIVE LIMPADORA A SUCÇÃO, TANQUE 12000 L - DEP
RECIAÇÃO. AF_11/2015</t>
  </si>
  <si>
    <t>CAMINHÃO PARA EQUIPAMENTO DE LIMPEZA A SUCÇÃO COM CAMINHÃO TRUCADO DE PESO BRUTO TOTAL 23000 KG, CARGA ÚTIL MÁXIMA 15935 KG, DISTÂNCIA ENTRE EIXOS 4,80 M, POTÊNCIA 230 CV, INCLUSIVE LIMPADORA A SUCÇÃO, TANQUE 12000 L - JUR
OS. AF_11/2015</t>
  </si>
  <si>
    <t>CAMINHÃO PARA EQUIPAMENTO DE LIMPEZA A SUCÇÃO COM CAMINHÃO TRUCADO DE PESO BRUTO TOTAL 23000 KG, CARGA ÚTIL MÁXIMA 15935 KG, DISTÂNCIA ENTRE EIXOS 4,80 M, POTÊNCIA 230 CV, INCLUSIVE LIMPADORA A SUCÇÃO, TANQUE 12000 L - IMPOSTOS E SEGUROS. AF_11/2015</t>
  </si>
  <si>
    <t>CAMINHÃO PARA EQUIPAMENTO DE LIMPEZA A SUCÇÃO COM CAMINHÃO TRUCADO DE PESO BRUTO TOTAL 23000 KG, CARGA ÚTIL MÁXIMA 15935 KG, DISTÂNCIA ENTRE EIXOS 4,80 M, POTÊNCIA 230 CV, INCLUSIVE LIMPADORA A SUCÇÃO, TANQUE 12000 L - MANUTENÇÃO. AF_11/2015</t>
  </si>
  <si>
    <t>CAMINHÃO PARA EQUIPAMENTO DE LIMPEZA A SUCÇÃO COM CAMINHÃO TRUCADO DE PESO BRUTO TOTAL 23000 KG, CARGA ÚTIL MÁXIMA 15935 KG, DISTÂNCIA ENTRE EIXOS 4,80 M, POTÊNCIA 230 CV, INCLUSIVE LIMPADORA A SUCÇÃO, TANQUE 12000 L - MATERIAIS NA OPERAÇÃO. AF_11/2015</t>
  </si>
  <si>
    <t>ARGAMASSA TRAÇO 1:4 (CIMENTO E AREIA MÉDIA), PREPARO MANUAL. AF_08/2014</t>
  </si>
  <si>
    <t>BARRA DE FERRO RETANGULAR, BARRA CHATA, 3/4" X 3/16" (L X E)</t>
  </si>
  <si>
    <t>CANTONEIRA FERRO GALVANIZADO DE ABAS IGUAIS, 1" X 1/8" (L X E) , 1,20KG/M</t>
  </si>
  <si>
    <t>PEDRA BRITADA N. 0 OU PEDRISCO (4,8 A 9,5MM) POSTO PEDREIRA/FORNECEDOR, SEM FRETE.</t>
  </si>
  <si>
    <t>TUBO PVC SERIE NORMAL, DN 50 MM, PARA ESGOTO PREDIAL (NBR 5688)</t>
  </si>
  <si>
    <t>SOLUCAO LIMPADORA PARA PVC, FRASCO COM 1000 CM3</t>
  </si>
  <si>
    <t>ADESIVO PLASTICO PARA PVC, FRASCO COM 850 GR</t>
  </si>
  <si>
    <t>LIXA EM FOLHA PARA PAREDE OU MADEIRA, NUMERO 120 (COR VERMELHA)</t>
  </si>
  <si>
    <t>TUBO PVC SERIE NORMAL, DN 100 MM, PARA ESGOTO PREDIAL (NBR 5688)</t>
  </si>
  <si>
    <t>Escavaçã vertical a céu aberto,m incluindo carga, descarga e tranporte, em solo de 1ªcategoria com escavadeira hidraulica (caçamba: 1,2m³/ 155Hp), frota de 7 caminhões basculante de 18m³, dmt de 8km e velocidade média 35km/h. AF_12/2013</t>
  </si>
  <si>
    <t>Reaterro apiloado em camadas 0,20m, utilizando material argilo-arenoso adquirido em jazida, já considerando um acréscimo de 25% no volume do material adquirido, não considerando o transporte até o reaterro</t>
  </si>
  <si>
    <t>Cinta de amarração de alvenaria moldada in loco com utilização de blocos canaleta estrutural de 19x19x39</t>
  </si>
  <si>
    <t>Fornecimento/instalação de manta geotextil MACDRAIN 2L ou equivalente</t>
  </si>
  <si>
    <t>Impermeabilização de superficie com revestimento bicomponente semi flexivel com utilização de 3,5kg/m</t>
  </si>
  <si>
    <t>Calha de concreto, 40x15 cm espessura de 8cm, preparado em betoneira e cimentado liso executado com argamassa traço 1:4(cimento e areia média não peneirada), preparo manual</t>
  </si>
  <si>
    <t>Peça de madeira nativa/regional 12,5 x 7,5cm (3x5") não aparelhada</t>
  </si>
  <si>
    <t xml:space="preserve">GEOTEXTIL NÃO TECIDO AGULHADO DE FILAMENTOS POLIPROPILENO MACDRAIN 2L OU EQUIVALENTE </t>
  </si>
  <si>
    <t>ARGAMASSA TRAÇO 1:1:6 (CIMENTO, CAL E AREIA MÉDIA) PARA CONTRAPISO, PREPARO MANUAL</t>
  </si>
  <si>
    <t>CAL HIDRATADA CH-I PARA ARGAMASSAS</t>
  </si>
  <si>
    <t>KG</t>
  </si>
  <si>
    <t>Canaleta de Concreto Estrutural 14x19x39 cm, FBK 14 Mpa (NBR 6136)</t>
  </si>
  <si>
    <t>Graut FCK 20, Mpa traço 1:0,04:1,6:1,9 (cimento, cal, areia grossa /brita 0) preparo mecanico com betoneira 400 lt AF_ 02/2015</t>
  </si>
  <si>
    <t>Corte e dobra de aço CA-50 Ø 10mm utilizados em estrutura diversas exceto lajes, AF _ 12/2015</t>
  </si>
  <si>
    <t>Argamassa traço 1:2:9 (cimento, cal e areia média) para emboço massa única assentamento de alvenaria de vedação  preparo mecanico com betoneira 600lt AF_06/2014</t>
  </si>
  <si>
    <t>Prego polido com cabeça 18 x 27</t>
  </si>
  <si>
    <t>Peça de madeira nativa/regional 7,5 X 7,5cm (3x3") não aparelhada (p/forma)</t>
  </si>
  <si>
    <t>Pedra britada numero 0 ou pedrisco (4,8 a 9,5mm) posto pedreira/fornecedor sem frete</t>
  </si>
  <si>
    <t>Tubo PVC soldavel DN 25mm água fria (NBR 5648)</t>
  </si>
  <si>
    <t>!EM PROCESSO DE DESATIVAÇÃO! REVESTIMENTO IMPERMEABILIZANTE SEMI-FLEXIVEL BI-COMPONENTE</t>
  </si>
  <si>
    <t>CALHA DE CONCRETO, 40X15 CM ESPESSURA DE 8 CM, PREPARADO EM BETONEIRA E CIMENTADO LISO EXECUTADO COM ARGAMASSA TRACO 1:4 (CIMENTO E AREIA MEDIA NÃO PENEIRADA), PREPARO MANUAL
- SINAPI - 84042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</si>
</sst>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0"/>
    <numFmt numFmtId="165" formatCode="#,##0.00000"/>
    <numFmt numFmtId="166" formatCode="#,##0.0000"/>
    <numFmt numFmtId="167" formatCode="_(* #,##0.00_);_(* \(#,##0.00\);_(* &quot;-&quot;??_);_(@_)"/>
    <numFmt numFmtId="168" formatCode="#,##0.00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9"/>
      <name val="Bookman Old Style"/>
      <family val="1"/>
    </font>
    <font>
      <sz val="10"/>
      <name val="Arial"/>
      <family val="2"/>
    </font>
    <font>
      <b/>
      <sz val="9"/>
      <color theme="1"/>
      <name val="Bookman Old Style"/>
      <family val="1"/>
    </font>
    <font>
      <sz val="11"/>
      <name val="Bookman Old Style"/>
      <family val="1"/>
    </font>
    <font>
      <b/>
      <sz val="11"/>
      <color rgb="FF000000"/>
      <name val="Arial"/>
      <family val="2"/>
    </font>
    <font>
      <b/>
      <sz val="9"/>
      <name val="Arial"/>
      <family val="2"/>
    </font>
    <font>
      <b/>
      <sz val="7"/>
      <name val="Bookman Old Style"/>
      <family val="1"/>
    </font>
    <font>
      <b/>
      <sz val="7"/>
      <name val="Calibri"/>
      <family val="2"/>
      <scheme val="minor"/>
    </font>
    <font>
      <sz val="7"/>
      <name val="Bookman Old Style"/>
      <family val="1"/>
    </font>
    <font>
      <i/>
      <sz val="7"/>
      <name val="Bookman Old Style"/>
      <family val="1"/>
    </font>
    <font>
      <sz val="7"/>
      <color rgb="FF000000"/>
      <name val="Bookman Old Style"/>
      <family val="1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Bookman Old Style"/>
      <family val="1"/>
    </font>
    <font>
      <sz val="9"/>
      <color rgb="FF000000"/>
      <name val="Book Antiqua"/>
      <family val="1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Bookman Old Style"/>
      <family val="1"/>
    </font>
    <font>
      <b/>
      <sz val="8"/>
      <name val="Bookman Old Style"/>
      <family val="1"/>
    </font>
    <font>
      <b/>
      <sz val="11"/>
      <name val="Bookman Old Style"/>
      <family val="1"/>
    </font>
    <font>
      <sz val="8"/>
      <name val="Bookman Old Style"/>
      <family val="1"/>
    </font>
    <font>
      <i/>
      <sz val="8"/>
      <name val="Bookman Old Style"/>
      <family val="1"/>
    </font>
    <font>
      <sz val="11"/>
      <color theme="1"/>
      <name val="Bookman Old Style"/>
      <family val="1"/>
    </font>
    <font>
      <i/>
      <sz val="7"/>
      <color rgb="FF000000"/>
      <name val="Bookman Old Style"/>
      <family val="1"/>
    </font>
    <font>
      <i/>
      <sz val="7"/>
      <color theme="1"/>
      <name val="Bookman Old Style"/>
      <family val="1"/>
    </font>
    <font>
      <b/>
      <sz val="10"/>
      <name val="Arial"/>
      <family val="2"/>
    </font>
    <font>
      <i/>
      <sz val="9"/>
      <name val="Bookman Old Style"/>
      <family val="1"/>
    </font>
    <font>
      <i/>
      <sz val="8"/>
      <color theme="1"/>
      <name val="Bookman Old Style"/>
      <family val="1"/>
    </font>
    <font>
      <sz val="7"/>
      <color theme="1"/>
      <name val="Bookman Old Style"/>
      <family val="1"/>
    </font>
    <font>
      <b/>
      <sz val="9"/>
      <color rgb="FFFF0000"/>
      <name val="Bookman Old Style"/>
      <family val="1"/>
    </font>
    <font>
      <sz val="10"/>
      <color rgb="FF000000"/>
      <name val="Bookman Old Style"/>
      <family val="1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theme="1"/>
        <bgColor indexed="3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398">
    <xf numFmtId="0" fontId="0" fillId="0" borderId="0" xfId="0"/>
    <xf numFmtId="43" fontId="0" fillId="0" borderId="0" xfId="0" applyNumberFormat="1"/>
    <xf numFmtId="0" fontId="0" fillId="0" borderId="13" xfId="0" applyBorder="1" applyAlignment="1">
      <alignment horizontal="center"/>
    </xf>
    <xf numFmtId="43" fontId="0" fillId="0" borderId="13" xfId="1" applyFont="1" applyBorder="1"/>
    <xf numFmtId="43" fontId="0" fillId="0" borderId="13" xfId="1" applyFont="1" applyBorder="1" applyAlignment="1">
      <alignment horizontal="center" vertical="center"/>
    </xf>
    <xf numFmtId="0" fontId="0" fillId="0" borderId="14" xfId="0" applyBorder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10" xfId="0" applyBorder="1" applyAlignment="1">
      <alignment horizontal="center" vertical="center"/>
    </xf>
    <xf numFmtId="43" fontId="0" fillId="0" borderId="0" xfId="1" applyFont="1"/>
    <xf numFmtId="9" fontId="0" fillId="0" borderId="0" xfId="2" applyFont="1"/>
    <xf numFmtId="43" fontId="0" fillId="0" borderId="13" xfId="1" applyFont="1" applyBorder="1" applyAlignment="1">
      <alignment vertical="center"/>
    </xf>
    <xf numFmtId="0" fontId="14" fillId="2" borderId="21" xfId="0" applyFont="1" applyFill="1" applyBorder="1" applyAlignment="1">
      <alignment horizontal="left" vertical="center" wrapText="1" indent="1"/>
    </xf>
    <xf numFmtId="4" fontId="12" fillId="2" borderId="22" xfId="0" applyNumberFormat="1" applyFont="1" applyFill="1" applyBorder="1" applyAlignment="1">
      <alignment horizontal="right" vertical="center" indent="1"/>
    </xf>
    <xf numFmtId="4" fontId="14" fillId="2" borderId="22" xfId="0" applyNumberFormat="1" applyFont="1" applyFill="1" applyBorder="1" applyAlignment="1">
      <alignment horizontal="right" vertical="center" indent="1"/>
    </xf>
    <xf numFmtId="0" fontId="0" fillId="2" borderId="0" xfId="0" applyFill="1"/>
    <xf numFmtId="49" fontId="14" fillId="2" borderId="21" xfId="0" applyNumberFormat="1" applyFont="1" applyFill="1" applyBorder="1" applyAlignment="1">
      <alignment horizontal="center" vertical="center" wrapText="1"/>
    </xf>
    <xf numFmtId="0" fontId="13" fillId="2" borderId="10" xfId="4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4" fontId="0" fillId="2" borderId="0" xfId="0" applyNumberFormat="1" applyFill="1"/>
    <xf numFmtId="0" fontId="8" fillId="2" borderId="0" xfId="0" applyFont="1" applyFill="1" applyBorder="1" applyAlignment="1">
      <alignment horizontal="right" vertical="center"/>
    </xf>
    <xf numFmtId="0" fontId="9" fillId="2" borderId="0" xfId="4" applyFont="1" applyFill="1">
      <alignment vertical="center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right"/>
    </xf>
    <xf numFmtId="10" fontId="11" fillId="2" borderId="0" xfId="0" applyNumberFormat="1" applyFont="1" applyFill="1" applyBorder="1" applyAlignment="1">
      <alignment horizontal="left"/>
    </xf>
    <xf numFmtId="49" fontId="12" fillId="2" borderId="20" xfId="0" applyNumberFormat="1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center" vertical="center" wrapText="1"/>
    </xf>
    <xf numFmtId="164" fontId="12" fillId="2" borderId="20" xfId="0" applyNumberFormat="1" applyFont="1" applyFill="1" applyBorder="1" applyAlignment="1">
      <alignment horizontal="center" vertical="center" wrapText="1"/>
    </xf>
    <xf numFmtId="4" fontId="12" fillId="2" borderId="20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justify" vertical="center"/>
    </xf>
    <xf numFmtId="0" fontId="14" fillId="2" borderId="22" xfId="0" applyFont="1" applyFill="1" applyBorder="1" applyAlignment="1">
      <alignment horizontal="left" vertical="center" wrapText="1" indent="1"/>
    </xf>
    <xf numFmtId="0" fontId="14" fillId="2" borderId="22" xfId="0" applyFont="1" applyFill="1" applyBorder="1" applyAlignment="1">
      <alignment horizontal="center" vertical="center" wrapText="1"/>
    </xf>
    <xf numFmtId="165" fontId="14" fillId="2" borderId="22" xfId="0" applyNumberFormat="1" applyFont="1" applyFill="1" applyBorder="1" applyAlignment="1">
      <alignment horizontal="right" vertical="center" wrapText="1" indent="1"/>
    </xf>
    <xf numFmtId="4" fontId="14" fillId="2" borderId="22" xfId="0" applyNumberFormat="1" applyFont="1" applyFill="1" applyBorder="1" applyAlignment="1">
      <alignment horizontal="right" vertical="center" wrapText="1" indent="1"/>
    </xf>
    <xf numFmtId="10" fontId="14" fillId="2" borderId="22" xfId="0" applyNumberFormat="1" applyFont="1" applyFill="1" applyBorder="1" applyAlignment="1">
      <alignment horizontal="right" vertical="top"/>
    </xf>
    <xf numFmtId="43" fontId="0" fillId="2" borderId="0" xfId="1" applyFont="1" applyFill="1"/>
    <xf numFmtId="0" fontId="14" fillId="2" borderId="0" xfId="0" applyFont="1" applyFill="1" applyBorder="1" applyAlignment="1">
      <alignment horizontal="right" vertical="top"/>
    </xf>
    <xf numFmtId="4" fontId="12" fillId="2" borderId="0" xfId="0" applyNumberFormat="1" applyFont="1" applyFill="1" applyBorder="1" applyAlignment="1">
      <alignment horizontal="right" vertical="center" indent="1"/>
    </xf>
    <xf numFmtId="0" fontId="15" fillId="2" borderId="0" xfId="0" applyFont="1" applyFill="1" applyBorder="1" applyAlignment="1">
      <alignment horizontal="center" vertical="top"/>
    </xf>
    <xf numFmtId="165" fontId="14" fillId="2" borderId="21" xfId="0" applyNumberFormat="1" applyFont="1" applyFill="1" applyBorder="1" applyAlignment="1">
      <alignment horizontal="right" vertical="center" wrapText="1" indent="1"/>
    </xf>
    <xf numFmtId="4" fontId="14" fillId="2" borderId="21" xfId="0" applyNumberFormat="1" applyFont="1" applyFill="1" applyBorder="1" applyAlignment="1">
      <alignment horizontal="right" vertical="center" wrapText="1" indent="1"/>
    </xf>
    <xf numFmtId="0" fontId="18" fillId="2" borderId="10" xfId="0" applyFont="1" applyFill="1" applyBorder="1" applyAlignment="1">
      <alignment wrapText="1"/>
    </xf>
    <xf numFmtId="4" fontId="16" fillId="2" borderId="21" xfId="0" applyNumberFormat="1" applyFont="1" applyFill="1" applyBorder="1" applyAlignment="1">
      <alignment horizontal="right" vertical="center" wrapText="1" indent="1"/>
    </xf>
    <xf numFmtId="10" fontId="16" fillId="2" borderId="22" xfId="0" applyNumberFormat="1" applyFont="1" applyFill="1" applyBorder="1" applyAlignment="1">
      <alignment horizontal="right" vertical="top"/>
    </xf>
    <xf numFmtId="0" fontId="16" fillId="2" borderId="0" xfId="0" applyFont="1" applyFill="1" applyBorder="1" applyAlignment="1">
      <alignment horizontal="right" vertical="top"/>
    </xf>
    <xf numFmtId="164" fontId="16" fillId="2" borderId="21" xfId="0" applyNumberFormat="1" applyFont="1" applyFill="1" applyBorder="1" applyAlignment="1">
      <alignment horizontal="right" vertical="center" wrapText="1" indent="1"/>
    </xf>
    <xf numFmtId="4" fontId="14" fillId="2" borderId="22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43" fontId="2" fillId="0" borderId="13" xfId="1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43" fontId="2" fillId="0" borderId="10" xfId="1" applyFont="1" applyBorder="1" applyAlignment="1">
      <alignment horizontal="right" vertical="center"/>
    </xf>
    <xf numFmtId="43" fontId="2" fillId="0" borderId="10" xfId="1" applyFont="1" applyBorder="1" applyAlignment="1">
      <alignment vertical="center"/>
    </xf>
    <xf numFmtId="43" fontId="2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43" fontId="2" fillId="0" borderId="0" xfId="1" applyFont="1" applyBorder="1" applyAlignment="1">
      <alignment vertical="center"/>
    </xf>
    <xf numFmtId="0" fontId="18" fillId="2" borderId="10" xfId="0" applyFont="1" applyFill="1" applyBorder="1" applyAlignment="1">
      <alignment vertical="center" wrapText="1"/>
    </xf>
    <xf numFmtId="0" fontId="15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right" vertical="top"/>
    </xf>
    <xf numFmtId="0" fontId="14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justify" vertical="center"/>
    </xf>
    <xf numFmtId="164" fontId="14" fillId="2" borderId="22" xfId="0" applyNumberFormat="1" applyFont="1" applyFill="1" applyBorder="1" applyAlignment="1">
      <alignment horizontal="center" vertical="center" wrapText="1"/>
    </xf>
    <xf numFmtId="4" fontId="14" fillId="2" borderId="22" xfId="0" applyNumberFormat="1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justify" vertical="center"/>
    </xf>
    <xf numFmtId="0" fontId="14" fillId="2" borderId="24" xfId="0" applyFont="1" applyFill="1" applyBorder="1" applyAlignment="1">
      <alignment horizontal="center" vertical="center" wrapText="1"/>
    </xf>
    <xf numFmtId="164" fontId="14" fillId="2" borderId="24" xfId="0" applyNumberFormat="1" applyFont="1" applyFill="1" applyBorder="1" applyAlignment="1">
      <alignment horizontal="center" vertical="center" wrapText="1"/>
    </xf>
    <xf numFmtId="4" fontId="14" fillId="2" borderId="24" xfId="0" applyNumberFormat="1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vertical="center" wrapText="1"/>
    </xf>
    <xf numFmtId="49" fontId="14" fillId="2" borderId="22" xfId="0" applyNumberFormat="1" applyFont="1" applyFill="1" applyBorder="1" applyAlignment="1">
      <alignment horizontal="center" vertical="center" wrapText="1"/>
    </xf>
    <xf numFmtId="4" fontId="14" fillId="2" borderId="22" xfId="0" applyNumberFormat="1" applyFont="1" applyFill="1" applyBorder="1" applyAlignment="1">
      <alignment horizontal="center" vertical="center"/>
    </xf>
    <xf numFmtId="4" fontId="12" fillId="2" borderId="22" xfId="0" applyNumberFormat="1" applyFont="1" applyFill="1" applyBorder="1" applyAlignment="1">
      <alignment horizontal="center" vertical="center"/>
    </xf>
    <xf numFmtId="49" fontId="14" fillId="2" borderId="24" xfId="0" applyNumberFormat="1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vertical="center"/>
    </xf>
    <xf numFmtId="0" fontId="21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4" fontId="16" fillId="2" borderId="22" xfId="0" applyNumberFormat="1" applyFont="1" applyFill="1" applyBorder="1" applyAlignment="1">
      <alignment horizontal="center" vertical="center" wrapText="1"/>
    </xf>
    <xf numFmtId="4" fontId="16" fillId="2" borderId="21" xfId="0" applyNumberFormat="1" applyFont="1" applyFill="1" applyBorder="1" applyAlignment="1">
      <alignment horizontal="center" vertical="center" wrapText="1"/>
    </xf>
    <xf numFmtId="166" fontId="16" fillId="2" borderId="21" xfId="0" applyNumberFormat="1" applyFont="1" applyFill="1" applyBorder="1" applyAlignment="1">
      <alignment horizontal="center" vertical="center" wrapText="1"/>
    </xf>
    <xf numFmtId="2" fontId="14" fillId="2" borderId="22" xfId="0" applyNumberFormat="1" applyFont="1" applyFill="1" applyBorder="1" applyAlignment="1">
      <alignment horizontal="center" vertical="center" wrapText="1"/>
    </xf>
    <xf numFmtId="4" fontId="16" fillId="2" borderId="22" xfId="0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164" fontId="16" fillId="2" borderId="2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0" fontId="13" fillId="0" borderId="10" xfId="4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164" fontId="12" fillId="0" borderId="10" xfId="0" applyNumberFormat="1" applyFont="1" applyFill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/>
    </xf>
    <xf numFmtId="164" fontId="14" fillId="2" borderId="21" xfId="0" applyNumberFormat="1" applyFont="1" applyFill="1" applyBorder="1" applyAlignment="1">
      <alignment horizontal="center" vertical="center" wrapText="1"/>
    </xf>
    <xf numFmtId="4" fontId="14" fillId="2" borderId="2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0" fillId="0" borderId="13" xfId="0" applyFont="1" applyBorder="1" applyAlignment="1">
      <alignment horizontal="center" vertical="center"/>
    </xf>
    <xf numFmtId="2" fontId="20" fillId="0" borderId="13" xfId="0" applyNumberFormat="1" applyFont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 vertical="top"/>
    </xf>
    <xf numFmtId="0" fontId="20" fillId="0" borderId="13" xfId="0" applyFont="1" applyFill="1" applyBorder="1" applyAlignment="1">
      <alignment horizontal="center" vertical="center"/>
    </xf>
    <xf numFmtId="43" fontId="0" fillId="0" borderId="13" xfId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43" fontId="2" fillId="0" borderId="12" xfId="1" applyFont="1" applyBorder="1" applyAlignment="1">
      <alignment horizontal="center" vertical="center"/>
    </xf>
    <xf numFmtId="43" fontId="2" fillId="0" borderId="13" xfId="1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43" fontId="0" fillId="0" borderId="27" xfId="1" applyFont="1" applyBorder="1" applyAlignment="1">
      <alignment horizontal="center" vertical="center"/>
    </xf>
    <xf numFmtId="43" fontId="0" fillId="0" borderId="27" xfId="1" applyFont="1" applyBorder="1" applyAlignment="1">
      <alignment vertical="center"/>
    </xf>
    <xf numFmtId="43" fontId="22" fillId="0" borderId="10" xfId="1" applyFont="1" applyFill="1" applyBorder="1" applyAlignment="1">
      <alignment horizontal="right" vertical="center"/>
    </xf>
    <xf numFmtId="43" fontId="22" fillId="0" borderId="10" xfId="1" applyFont="1" applyFill="1" applyBorder="1" applyAlignment="1">
      <alignment vertical="center"/>
    </xf>
    <xf numFmtId="10" fontId="22" fillId="0" borderId="10" xfId="2" applyNumberFormat="1" applyFont="1" applyFill="1" applyBorder="1" applyAlignment="1">
      <alignment horizontal="right" vertical="center"/>
    </xf>
    <xf numFmtId="0" fontId="22" fillId="0" borderId="1" xfId="0" applyFont="1" applyBorder="1"/>
    <xf numFmtId="0" fontId="2" fillId="0" borderId="7" xfId="0" applyFont="1" applyBorder="1"/>
    <xf numFmtId="0" fontId="24" fillId="0" borderId="18" xfId="0" applyFont="1" applyFill="1" applyBorder="1" applyAlignment="1">
      <alignment horizontal="center" vertical="top" shrinkToFit="1"/>
    </xf>
    <xf numFmtId="167" fontId="26" fillId="0" borderId="40" xfId="7" applyFont="1" applyFill="1" applyBorder="1" applyAlignment="1" applyProtection="1">
      <alignment vertical="center" shrinkToFit="1"/>
    </xf>
    <xf numFmtId="10" fontId="26" fillId="0" borderId="40" xfId="6" applyNumberFormat="1" applyFont="1" applyFill="1" applyBorder="1" applyAlignment="1" applyProtection="1">
      <alignment vertical="center" shrinkToFit="1"/>
    </xf>
    <xf numFmtId="167" fontId="26" fillId="3" borderId="41" xfId="7" applyFont="1" applyFill="1" applyBorder="1" applyAlignment="1" applyProtection="1">
      <alignment vertical="center" shrinkToFit="1"/>
    </xf>
    <xf numFmtId="10" fontId="26" fillId="4" borderId="41" xfId="6" applyNumberFormat="1" applyFont="1" applyFill="1" applyBorder="1" applyAlignment="1" applyProtection="1">
      <alignment vertical="center" shrinkToFit="1"/>
    </xf>
    <xf numFmtId="167" fontId="26" fillId="4" borderId="41" xfId="7" applyFont="1" applyFill="1" applyBorder="1" applyAlignment="1" applyProtection="1">
      <alignment vertical="center" shrinkToFit="1"/>
    </xf>
    <xf numFmtId="10" fontId="26" fillId="0" borderId="41" xfId="6" applyNumberFormat="1" applyFont="1" applyFill="1" applyBorder="1" applyAlignment="1" applyProtection="1">
      <alignment vertical="center" shrinkToFit="1"/>
    </xf>
    <xf numFmtId="167" fontId="26" fillId="0" borderId="41" xfId="7" applyFont="1" applyFill="1" applyBorder="1" applyAlignment="1" applyProtection="1">
      <alignment vertical="center" shrinkToFit="1"/>
    </xf>
    <xf numFmtId="10" fontId="26" fillId="0" borderId="42" xfId="6" applyNumberFormat="1" applyFont="1" applyFill="1" applyBorder="1" applyAlignment="1" applyProtection="1">
      <alignment vertical="center" shrinkToFit="1"/>
    </xf>
    <xf numFmtId="167" fontId="26" fillId="0" borderId="42" xfId="7" applyFont="1" applyFill="1" applyBorder="1" applyAlignment="1" applyProtection="1">
      <alignment vertical="center" shrinkToFit="1"/>
    </xf>
    <xf numFmtId="167" fontId="26" fillId="0" borderId="45" xfId="7" applyFont="1" applyFill="1" applyBorder="1" applyAlignment="1" applyProtection="1">
      <alignment vertical="center" shrinkToFit="1"/>
    </xf>
    <xf numFmtId="167" fontId="26" fillId="0" borderId="47" xfId="7" applyFont="1" applyFill="1" applyBorder="1" applyAlignment="1" applyProtection="1">
      <alignment vertical="center" shrinkToFit="1"/>
    </xf>
    <xf numFmtId="10" fontId="26" fillId="0" borderId="47" xfId="6" applyNumberFormat="1" applyFont="1" applyFill="1" applyBorder="1" applyAlignment="1" applyProtection="1">
      <alignment vertical="center" shrinkToFit="1"/>
    </xf>
    <xf numFmtId="167" fontId="27" fillId="0" borderId="41" xfId="7" applyFont="1" applyFill="1" applyBorder="1" applyAlignment="1" applyProtection="1">
      <alignment vertical="center" shrinkToFit="1"/>
    </xf>
    <xf numFmtId="0" fontId="28" fillId="0" borderId="0" xfId="0" applyFont="1"/>
    <xf numFmtId="10" fontId="26" fillId="0" borderId="40" xfId="6" applyNumberFormat="1" applyFont="1" applyFill="1" applyBorder="1" applyAlignment="1" applyProtection="1">
      <alignment horizontal="center" vertical="center" shrinkToFit="1"/>
    </xf>
    <xf numFmtId="167" fontId="26" fillId="3" borderId="41" xfId="7" applyFont="1" applyFill="1" applyBorder="1" applyAlignment="1" applyProtection="1">
      <alignment horizontal="center" vertical="center" shrinkToFit="1"/>
    </xf>
    <xf numFmtId="10" fontId="26" fillId="0" borderId="41" xfId="6" applyNumberFormat="1" applyFont="1" applyFill="1" applyBorder="1" applyAlignment="1" applyProtection="1">
      <alignment horizontal="center" vertical="center" shrinkToFit="1"/>
    </xf>
    <xf numFmtId="10" fontId="26" fillId="0" borderId="45" xfId="6" applyNumberFormat="1" applyFont="1" applyFill="1" applyBorder="1" applyAlignment="1" applyProtection="1">
      <alignment horizontal="center" vertical="center" shrinkToFit="1"/>
    </xf>
    <xf numFmtId="10" fontId="26" fillId="0" borderId="47" xfId="6" applyNumberFormat="1" applyFont="1" applyFill="1" applyBorder="1" applyAlignment="1" applyProtection="1">
      <alignment horizontal="center" vertical="center" shrinkToFit="1"/>
    </xf>
    <xf numFmtId="10" fontId="26" fillId="0" borderId="42" xfId="6" applyNumberFormat="1" applyFont="1" applyFill="1" applyBorder="1" applyAlignment="1" applyProtection="1">
      <alignment horizontal="center" vertical="center" shrinkToFit="1"/>
    </xf>
    <xf numFmtId="167" fontId="27" fillId="0" borderId="41" xfId="7" applyFont="1" applyFill="1" applyBorder="1" applyAlignment="1" applyProtection="1">
      <alignment horizontal="center" vertical="center" shrinkToFit="1"/>
    </xf>
    <xf numFmtId="0" fontId="24" fillId="0" borderId="55" xfId="0" applyFont="1" applyFill="1" applyBorder="1" applyAlignment="1">
      <alignment horizontal="center" vertical="center"/>
    </xf>
    <xf numFmtId="0" fontId="9" fillId="0" borderId="31" xfId="0" applyFont="1" applyBorder="1" applyAlignment="1"/>
    <xf numFmtId="0" fontId="0" fillId="0" borderId="10" xfId="0" applyBorder="1" applyAlignment="1">
      <alignment vertical="center"/>
    </xf>
    <xf numFmtId="2" fontId="0" fillId="0" borderId="10" xfId="0" applyNumberForma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2" fontId="2" fillId="5" borderId="1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top"/>
    </xf>
    <xf numFmtId="2" fontId="0" fillId="0" borderId="0" xfId="0" applyNumberFormat="1"/>
    <xf numFmtId="0" fontId="31" fillId="0" borderId="10" xfId="0" applyFont="1" applyBorder="1" applyAlignment="1">
      <alignment horizontal="center"/>
    </xf>
    <xf numFmtId="0" fontId="0" fillId="0" borderId="10" xfId="0" applyBorder="1"/>
    <xf numFmtId="9" fontId="1" fillId="0" borderId="10" xfId="2" applyFont="1" applyBorder="1" applyAlignment="1">
      <alignment horizontal="center" vertical="center"/>
    </xf>
    <xf numFmtId="9" fontId="31" fillId="0" borderId="10" xfId="2" applyFont="1" applyBorder="1" applyAlignment="1">
      <alignment horizontal="center" vertical="center"/>
    </xf>
    <xf numFmtId="0" fontId="31" fillId="0" borderId="10" xfId="0" applyFont="1" applyBorder="1"/>
    <xf numFmtId="0" fontId="31" fillId="0" borderId="10" xfId="0" applyFont="1" applyBorder="1" applyAlignment="1">
      <alignment horizontal="right"/>
    </xf>
    <xf numFmtId="10" fontId="31" fillId="0" borderId="10" xfId="2" applyNumberFormat="1" applyFont="1" applyBorder="1" applyAlignment="1">
      <alignment horizontal="center" vertical="center"/>
    </xf>
    <xf numFmtId="0" fontId="7" fillId="0" borderId="10" xfId="0" applyFont="1" applyBorder="1"/>
    <xf numFmtId="10" fontId="1" fillId="0" borderId="10" xfId="2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0" fillId="0" borderId="0" xfId="0" applyBorder="1"/>
    <xf numFmtId="0" fontId="15" fillId="0" borderId="0" xfId="0" applyFont="1" applyFill="1" applyBorder="1" applyAlignment="1">
      <alignment horizontal="center" vertical="center"/>
    </xf>
    <xf numFmtId="10" fontId="0" fillId="0" borderId="0" xfId="0" applyNumberFormat="1"/>
    <xf numFmtId="0" fontId="15" fillId="2" borderId="0" xfId="0" applyFont="1" applyFill="1" applyBorder="1" applyAlignment="1"/>
    <xf numFmtId="0" fontId="30" fillId="0" borderId="0" xfId="0" applyFont="1" applyFill="1" applyBorder="1" applyAlignment="1"/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10" fontId="5" fillId="0" borderId="0" xfId="6" applyNumberFormat="1" applyFont="1" applyBorder="1" applyAlignment="1">
      <alignment vertical="center" shrinkToFit="1"/>
    </xf>
    <xf numFmtId="4" fontId="5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right" vertical="center" shrinkToFit="1"/>
    </xf>
    <xf numFmtId="0" fontId="33" fillId="0" borderId="0" xfId="0" applyFont="1" applyAlignment="1">
      <alignment horizontal="center"/>
    </xf>
    <xf numFmtId="0" fontId="30" fillId="0" borderId="0" xfId="0" applyFont="1"/>
    <xf numFmtId="0" fontId="2" fillId="0" borderId="1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 vertical="top"/>
    </xf>
    <xf numFmtId="0" fontId="14" fillId="2" borderId="23" xfId="0" applyFont="1" applyFill="1" applyBorder="1" applyAlignment="1">
      <alignment horizontal="right" vertical="top"/>
    </xf>
    <xf numFmtId="0" fontId="15" fillId="2" borderId="0" xfId="0" applyFont="1" applyFill="1" applyAlignment="1">
      <alignment horizontal="center" vertical="top"/>
    </xf>
    <xf numFmtId="0" fontId="31" fillId="0" borderId="17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10" fontId="0" fillId="0" borderId="0" xfId="2" applyNumberFormat="1" applyFont="1"/>
    <xf numFmtId="10" fontId="35" fillId="6" borderId="0" xfId="2" applyNumberFormat="1" applyFont="1" applyFill="1" applyAlignment="1"/>
    <xf numFmtId="0" fontId="20" fillId="0" borderId="13" xfId="0" applyFont="1" applyBorder="1" applyAlignment="1">
      <alignment horizontal="center" vertical="center" wrapText="1"/>
    </xf>
    <xf numFmtId="43" fontId="0" fillId="0" borderId="13" xfId="1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165" fontId="14" fillId="2" borderId="22" xfId="0" applyNumberFormat="1" applyFont="1" applyFill="1" applyBorder="1" applyAlignment="1">
      <alignment horizontal="center" vertical="center" wrapText="1"/>
    </xf>
    <xf numFmtId="165" fontId="14" fillId="2" borderId="21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justify" vertical="center"/>
    </xf>
    <xf numFmtId="0" fontId="21" fillId="2" borderId="24" xfId="0" applyFont="1" applyFill="1" applyBorder="1" applyAlignment="1">
      <alignment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168" fontId="14" fillId="2" borderId="22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 wrapText="1"/>
    </xf>
    <xf numFmtId="0" fontId="25" fillId="0" borderId="0" xfId="0" applyFont="1" applyBorder="1" applyAlignment="1"/>
    <xf numFmtId="0" fontId="19" fillId="0" borderId="53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67" fontId="0" fillId="0" borderId="0" xfId="0" applyNumberFormat="1"/>
    <xf numFmtId="0" fontId="7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4" fillId="2" borderId="23" xfId="0" applyFont="1" applyFill="1" applyBorder="1" applyAlignment="1">
      <alignment horizontal="right" vertical="top"/>
    </xf>
    <xf numFmtId="0" fontId="2" fillId="0" borderId="19" xfId="0" applyFont="1" applyBorder="1" applyAlignment="1">
      <alignment horizontal="center"/>
    </xf>
    <xf numFmtId="43" fontId="37" fillId="0" borderId="0" xfId="1" applyFont="1"/>
    <xf numFmtId="0" fontId="21" fillId="2" borderId="22" xfId="0" applyFont="1" applyFill="1" applyBorder="1" applyAlignment="1">
      <alignment vertical="center" wrapText="1"/>
    </xf>
    <xf numFmtId="49" fontId="14" fillId="2" borderId="20" xfId="0" applyNumberFormat="1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vertical="center"/>
    </xf>
    <xf numFmtId="4" fontId="14" fillId="2" borderId="29" xfId="0" applyNumberFormat="1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vertical="center" wrapText="1"/>
    </xf>
    <xf numFmtId="0" fontId="21" fillId="2" borderId="24" xfId="4" applyFont="1" applyFill="1" applyBorder="1" applyAlignment="1">
      <alignment horizontal="left" vertical="center" wrapText="1"/>
    </xf>
    <xf numFmtId="0" fontId="21" fillId="2" borderId="22" xfId="4" applyFont="1" applyFill="1" applyBorder="1" applyAlignment="1">
      <alignment horizontal="left" vertical="center" wrapText="1"/>
    </xf>
    <xf numFmtId="2" fontId="14" fillId="2" borderId="22" xfId="1" applyNumberFormat="1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164" fontId="16" fillId="2" borderId="22" xfId="0" applyNumberFormat="1" applyFont="1" applyFill="1" applyBorder="1" applyAlignment="1">
      <alignment horizontal="center" vertical="center" wrapText="1"/>
    </xf>
    <xf numFmtId="4" fontId="12" fillId="0" borderId="2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2" fontId="1" fillId="0" borderId="10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3" fillId="2" borderId="10" xfId="0" applyFont="1" applyFill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justify" vertical="center" wrapText="1"/>
    </xf>
    <xf numFmtId="0" fontId="38" fillId="2" borderId="0" xfId="0" applyFont="1" applyFill="1"/>
    <xf numFmtId="166" fontId="14" fillId="2" borderId="24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0" fontId="14" fillId="2" borderId="23" xfId="0" applyFont="1" applyFill="1" applyBorder="1" applyAlignment="1">
      <alignment horizontal="right" vertical="top"/>
    </xf>
    <xf numFmtId="0" fontId="16" fillId="2" borderId="22" xfId="0" applyFont="1" applyFill="1" applyBorder="1" applyAlignment="1">
      <alignment horizontal="right" vertical="top"/>
    </xf>
    <xf numFmtId="0" fontId="1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6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0" fontId="15" fillId="2" borderId="21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10" fontId="24" fillId="0" borderId="17" xfId="6" applyNumberFormat="1" applyFont="1" applyBorder="1" applyAlignment="1">
      <alignment vertical="center" shrinkToFit="1"/>
    </xf>
    <xf numFmtId="10" fontId="24" fillId="0" borderId="35" xfId="6" applyNumberFormat="1" applyFont="1" applyBorder="1" applyAlignment="1">
      <alignment vertical="center" shrinkToFit="1"/>
    </xf>
    <xf numFmtId="10" fontId="24" fillId="0" borderId="18" xfId="6" applyNumberFormat="1" applyFont="1" applyBorder="1" applyAlignment="1">
      <alignment vertical="center" shrinkToFit="1"/>
    </xf>
    <xf numFmtId="4" fontId="24" fillId="0" borderId="17" xfId="0" applyNumberFormat="1" applyFont="1" applyBorder="1" applyAlignment="1">
      <alignment vertical="center" shrinkToFit="1"/>
    </xf>
    <xf numFmtId="0" fontId="24" fillId="0" borderId="35" xfId="0" applyFont="1" applyBorder="1" applyAlignment="1">
      <alignment vertical="center" shrinkToFit="1"/>
    </xf>
    <xf numFmtId="0" fontId="24" fillId="0" borderId="18" xfId="0" applyFont="1" applyBorder="1" applyAlignment="1">
      <alignment vertical="center" shrinkToFit="1"/>
    </xf>
    <xf numFmtId="10" fontId="24" fillId="0" borderId="17" xfId="0" applyNumberFormat="1" applyFont="1" applyBorder="1" applyAlignment="1">
      <alignment horizontal="right" vertical="center" shrinkToFit="1"/>
    </xf>
    <xf numFmtId="0" fontId="24" fillId="0" borderId="18" xfId="0" applyFont="1" applyBorder="1" applyAlignment="1">
      <alignment horizontal="right" vertical="center" shrinkToFit="1"/>
    </xf>
    <xf numFmtId="4" fontId="24" fillId="0" borderId="18" xfId="0" applyNumberFormat="1" applyFont="1" applyBorder="1" applyAlignment="1">
      <alignment vertical="center" shrinkToFit="1"/>
    </xf>
    <xf numFmtId="3" fontId="25" fillId="0" borderId="37" xfId="0" applyNumberFormat="1" applyFont="1" applyFill="1" applyBorder="1" applyAlignment="1">
      <alignment horizontal="center" vertical="center"/>
    </xf>
    <xf numFmtId="3" fontId="25" fillId="0" borderId="38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left" vertical="center" shrinkToFit="1"/>
    </xf>
    <xf numFmtId="0" fontId="24" fillId="0" borderId="30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35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5" fillId="0" borderId="36" xfId="0" applyFont="1" applyFill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10" fontId="26" fillId="0" borderId="41" xfId="6" applyNumberFormat="1" applyFont="1" applyFill="1" applyBorder="1" applyAlignment="1" applyProtection="1">
      <alignment horizontal="justify" vertical="center" shrinkToFit="1"/>
    </xf>
    <xf numFmtId="10" fontId="26" fillId="0" borderId="36" xfId="6" applyNumberFormat="1" applyFont="1" applyFill="1" applyBorder="1" applyAlignment="1" applyProtection="1">
      <alignment horizontal="justify" vertical="center" shrinkToFit="1"/>
    </xf>
    <xf numFmtId="0" fontId="26" fillId="0" borderId="4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10" fontId="26" fillId="0" borderId="40" xfId="6" applyNumberFormat="1" applyFont="1" applyFill="1" applyBorder="1" applyAlignment="1" applyProtection="1">
      <alignment horizontal="left" vertical="center" shrinkToFit="1"/>
    </xf>
    <xf numFmtId="10" fontId="26" fillId="0" borderId="45" xfId="6" applyNumberFormat="1" applyFont="1" applyFill="1" applyBorder="1" applyAlignment="1" applyProtection="1">
      <alignment horizontal="left" vertical="center" shrinkToFit="1"/>
    </xf>
    <xf numFmtId="0" fontId="26" fillId="0" borderId="46" xfId="0" applyFont="1" applyBorder="1" applyAlignment="1">
      <alignment horizontal="center" vertical="center"/>
    </xf>
    <xf numFmtId="10" fontId="26" fillId="0" borderId="47" xfId="6" applyNumberFormat="1" applyFont="1" applyFill="1" applyBorder="1" applyAlignment="1" applyProtection="1">
      <alignment horizontal="left" vertical="center" shrinkToFit="1"/>
    </xf>
    <xf numFmtId="0" fontId="26" fillId="0" borderId="46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10" fontId="26" fillId="0" borderId="42" xfId="6" applyNumberFormat="1" applyFont="1" applyFill="1" applyBorder="1" applyAlignment="1" applyProtection="1">
      <alignment horizontal="left" vertical="center" shrinkToFit="1"/>
    </xf>
    <xf numFmtId="0" fontId="32" fillId="2" borderId="0" xfId="0" applyFont="1" applyFill="1" applyBorder="1" applyAlignment="1">
      <alignment horizontal="center"/>
    </xf>
    <xf numFmtId="10" fontId="24" fillId="0" borderId="35" xfId="0" applyNumberFormat="1" applyFont="1" applyBorder="1" applyAlignment="1">
      <alignment vertical="center"/>
    </xf>
    <xf numFmtId="10" fontId="24" fillId="0" borderId="18" xfId="0" applyNumberFormat="1" applyFont="1" applyBorder="1" applyAlignment="1">
      <alignment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6" fillId="0" borderId="29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24" fillId="0" borderId="5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vertical="center"/>
    </xf>
    <xf numFmtId="0" fontId="26" fillId="0" borderId="54" xfId="0" applyFont="1" applyBorder="1" applyAlignment="1">
      <alignment vertical="center"/>
    </xf>
    <xf numFmtId="0" fontId="24" fillId="0" borderId="50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4" fontId="24" fillId="0" borderId="52" xfId="0" applyNumberFormat="1" applyFont="1" applyBorder="1" applyAlignment="1">
      <alignment vertical="center" shrinkToFit="1"/>
    </xf>
    <xf numFmtId="10" fontId="24" fillId="0" borderId="52" xfId="6" applyNumberFormat="1" applyFont="1" applyBorder="1" applyAlignment="1">
      <alignment horizontal="center" vertical="center" shrinkToFit="1"/>
    </xf>
    <xf numFmtId="10" fontId="24" fillId="0" borderId="18" xfId="6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19" xfId="0" applyFont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1" fillId="0" borderId="17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0" borderId="53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1" fillId="0" borderId="54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0" borderId="33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</cellXfs>
  <cellStyles count="8">
    <cellStyle name="Normal" xfId="0" builtinId="0"/>
    <cellStyle name="Normal 2" xfId="4"/>
    <cellStyle name="Normal 2 2" xfId="5"/>
    <cellStyle name="Normal 5" xfId="3"/>
    <cellStyle name="Porcentagem" xfId="2" builtinId="5"/>
    <cellStyle name="Porcentagem 2" xfId="6"/>
    <cellStyle name="Separador de milhares 2" xfId="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adarindustrial.com.br/produto/122257/carneiro-hidraulico-ariete-06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5</xdr:row>
      <xdr:rowOff>127968</xdr:rowOff>
    </xdr:to>
    <xdr:sp macro="" textlink="">
      <xdr:nvSpPr>
        <xdr:cNvPr id="2" name="AutoShape 3" descr="http://siteimages.radarindustrial.com.br/SiteImages/Client/54945/Product/122257/Image/carneiro6-890-2.jp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0"/>
          <a:ext cx="304800" cy="1199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5</xdr:row>
      <xdr:rowOff>108918</xdr:rowOff>
    </xdr:to>
    <xdr:sp macro="" textlink="">
      <xdr:nvSpPr>
        <xdr:cNvPr id="3" name="AutoShape 3" descr="http://siteimages.radarindustrial.com.br/SiteImages/Client/54945/Product/122257/Image/carneiro6-890-2.jp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0"/>
          <a:ext cx="304800" cy="1180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3</xdr:row>
      <xdr:rowOff>147018</xdr:rowOff>
    </xdr:to>
    <xdr:sp macro="" textlink="">
      <xdr:nvSpPr>
        <xdr:cNvPr id="4" name="AutoShape 3" descr="http://siteimages.radarindustrial.com.br/SiteImages/Client/54945/Product/122257/Image/carneiro6-890-2.jp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0"/>
          <a:ext cx="304800" cy="837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4</xdr:row>
      <xdr:rowOff>127968</xdr:rowOff>
    </xdr:to>
    <xdr:sp macro="" textlink="">
      <xdr:nvSpPr>
        <xdr:cNvPr id="5" name="AutoShape 3" descr="http://siteimages.radarindustrial.com.br/SiteImages/Client/54945/Product/122257/Image/carneiro6-890-2.jp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0"/>
          <a:ext cx="304800" cy="1008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5</xdr:row>
      <xdr:rowOff>289893</xdr:rowOff>
    </xdr:to>
    <xdr:sp macro="" textlink="">
      <xdr:nvSpPr>
        <xdr:cNvPr id="6" name="AutoShape 3" descr="http://siteimages.radarindustrial.com.br/SiteImages/Client/54945/Product/122257/Image/carneiro6-890-2.jp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0"/>
          <a:ext cx="304800" cy="1358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3</xdr:row>
      <xdr:rowOff>137493</xdr:rowOff>
    </xdr:to>
    <xdr:sp macro="" textlink="">
      <xdr:nvSpPr>
        <xdr:cNvPr id="7" name="AutoShape 3" descr="http://siteimages.radarindustrial.com.br/SiteImages/Client/54945/Product/122257/Image/carneiro6-890-2.jp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0"/>
          <a:ext cx="304800" cy="827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0"/>
  <sheetViews>
    <sheetView tabSelected="1" view="pageBreakPreview" zoomScaleNormal="100" zoomScaleSheetLayoutView="100" workbookViewId="0">
      <selection activeCell="I5" sqref="I5"/>
    </sheetView>
  </sheetViews>
  <sheetFormatPr defaultRowHeight="15" x14ac:dyDescent="0.25"/>
  <cols>
    <col min="2" max="2" width="81.85546875" style="209" customWidth="1"/>
    <col min="3" max="3" width="9.5703125" style="219" bestFit="1" customWidth="1"/>
    <col min="4" max="4" width="11.5703125" style="219" bestFit="1" customWidth="1"/>
    <col min="5" max="6" width="15.7109375" style="219" customWidth="1"/>
    <col min="7" max="7" width="16.7109375" style="219" customWidth="1"/>
    <col min="8" max="8" width="14.7109375" customWidth="1"/>
    <col min="9" max="9" width="13.28515625" bestFit="1" customWidth="1"/>
    <col min="10" max="10" width="9.5703125" bestFit="1" customWidth="1"/>
    <col min="11" max="11" width="18.5703125" customWidth="1"/>
  </cols>
  <sheetData>
    <row r="1" spans="1:12" ht="23.25" x14ac:dyDescent="0.25">
      <c r="A1" s="280" t="s">
        <v>22</v>
      </c>
      <c r="B1" s="280"/>
      <c r="C1" s="280"/>
      <c r="D1" s="280"/>
      <c r="E1" s="280"/>
      <c r="F1" s="280"/>
      <c r="G1" s="280"/>
      <c r="H1" s="6"/>
      <c r="I1" s="6"/>
      <c r="J1" s="6"/>
      <c r="K1" s="6"/>
      <c r="L1" s="6"/>
    </row>
    <row r="2" spans="1:12" x14ac:dyDescent="0.25">
      <c r="A2" s="281" t="s">
        <v>23</v>
      </c>
      <c r="B2" s="281"/>
      <c r="C2" s="281"/>
      <c r="D2" s="281"/>
      <c r="E2" s="281"/>
      <c r="F2" s="281"/>
      <c r="G2" s="281"/>
      <c r="H2" s="7"/>
      <c r="I2" s="7"/>
      <c r="J2" s="7"/>
      <c r="K2" s="7"/>
      <c r="L2" s="7"/>
    </row>
    <row r="3" spans="1:12" x14ac:dyDescent="0.25">
      <c r="A3" s="282" t="s">
        <v>24</v>
      </c>
      <c r="B3" s="282"/>
      <c r="C3" s="282"/>
      <c r="D3" s="282"/>
      <c r="E3" s="282"/>
      <c r="F3" s="282"/>
      <c r="G3" s="282"/>
      <c r="H3" s="8"/>
      <c r="I3" s="8"/>
      <c r="J3" s="8"/>
      <c r="K3" s="8"/>
      <c r="L3" s="8"/>
    </row>
    <row r="4" spans="1:12" x14ac:dyDescent="0.25">
      <c r="A4" s="283" t="s">
        <v>25</v>
      </c>
      <c r="B4" s="283"/>
      <c r="C4" s="283"/>
      <c r="D4" s="283"/>
      <c r="E4" s="283"/>
      <c r="F4" s="283"/>
      <c r="G4" s="283"/>
      <c r="H4" s="9"/>
      <c r="I4" s="9"/>
      <c r="J4" s="9"/>
      <c r="K4" s="9"/>
      <c r="L4" s="9"/>
    </row>
    <row r="5" spans="1:12" ht="15.75" thickBot="1" x14ac:dyDescent="0.3"/>
    <row r="6" spans="1:12" ht="30" x14ac:dyDescent="0.25">
      <c r="A6" s="137" t="s">
        <v>62</v>
      </c>
      <c r="B6" s="210" t="s">
        <v>199</v>
      </c>
      <c r="C6" s="220"/>
      <c r="D6" s="220"/>
      <c r="E6" s="220"/>
      <c r="F6" s="220"/>
      <c r="G6" s="221"/>
    </row>
    <row r="7" spans="1:12" ht="15.75" thickBot="1" x14ac:dyDescent="0.3">
      <c r="A7" s="138" t="s">
        <v>28</v>
      </c>
      <c r="B7" s="211" t="s">
        <v>198</v>
      </c>
      <c r="C7" s="222"/>
      <c r="D7" s="222"/>
      <c r="E7" s="222"/>
      <c r="F7" s="223" t="s">
        <v>83</v>
      </c>
      <c r="G7" s="224" t="s">
        <v>84</v>
      </c>
    </row>
    <row r="8" spans="1:12" ht="15.75" thickBot="1" x14ac:dyDescent="0.3">
      <c r="A8" s="284" t="s">
        <v>0</v>
      </c>
      <c r="B8" s="285"/>
      <c r="C8" s="285"/>
      <c r="D8" s="285"/>
      <c r="E8" s="285"/>
      <c r="F8" s="285"/>
      <c r="G8" s="286"/>
    </row>
    <row r="9" spans="1:12" x14ac:dyDescent="0.25">
      <c r="A9" s="5"/>
      <c r="B9" s="212"/>
      <c r="C9" s="225"/>
      <c r="D9" s="225"/>
      <c r="E9" s="225"/>
      <c r="F9" s="225"/>
      <c r="G9" s="226"/>
    </row>
    <row r="10" spans="1:12" x14ac:dyDescent="0.25">
      <c r="A10" s="278" t="s">
        <v>1</v>
      </c>
      <c r="B10" s="293" t="s">
        <v>2</v>
      </c>
      <c r="C10" s="288" t="s">
        <v>3</v>
      </c>
      <c r="D10" s="288" t="s">
        <v>4</v>
      </c>
      <c r="E10" s="288" t="s">
        <v>5</v>
      </c>
      <c r="F10" s="288"/>
      <c r="G10" s="287" t="s">
        <v>8</v>
      </c>
    </row>
    <row r="11" spans="1:12" x14ac:dyDescent="0.25">
      <c r="A11" s="279"/>
      <c r="B11" s="294"/>
      <c r="C11" s="288"/>
      <c r="D11" s="288"/>
      <c r="E11" s="193" t="s">
        <v>7</v>
      </c>
      <c r="F11" s="193" t="s">
        <v>6</v>
      </c>
      <c r="G11" s="287"/>
    </row>
    <row r="12" spans="1:12" x14ac:dyDescent="0.25">
      <c r="A12" s="61" t="s">
        <v>63</v>
      </c>
      <c r="B12" s="205" t="s">
        <v>200</v>
      </c>
      <c r="C12" s="127"/>
      <c r="D12" s="128"/>
      <c r="E12" s="128"/>
      <c r="F12" s="128"/>
      <c r="G12" s="129">
        <f>SUM(F13:F16)</f>
        <v>22087.99</v>
      </c>
    </row>
    <row r="13" spans="1:12" x14ac:dyDescent="0.25">
      <c r="A13" s="60" t="s">
        <v>205</v>
      </c>
      <c r="B13" s="206" t="s">
        <v>201</v>
      </c>
      <c r="C13" s="60" t="s">
        <v>47</v>
      </c>
      <c r="D13" s="4">
        <v>176</v>
      </c>
      <c r="E13" s="4">
        <f>' CCU '!G20</f>
        <v>61.38</v>
      </c>
      <c r="F13" s="4">
        <f>D13*E13</f>
        <v>10802.880000000001</v>
      </c>
      <c r="G13" s="130"/>
    </row>
    <row r="14" spans="1:12" x14ac:dyDescent="0.25">
      <c r="A14" s="60" t="s">
        <v>206</v>
      </c>
      <c r="B14" s="206" t="s">
        <v>202</v>
      </c>
      <c r="C14" s="60" t="s">
        <v>47</v>
      </c>
      <c r="D14" s="4">
        <v>352</v>
      </c>
      <c r="E14" s="4">
        <f>' CCU '!G33</f>
        <v>22.18</v>
      </c>
      <c r="F14" s="4">
        <f t="shared" ref="F14:F77" si="0">D14*E14</f>
        <v>7807.36</v>
      </c>
      <c r="G14" s="130"/>
    </row>
    <row r="15" spans="1:12" x14ac:dyDescent="0.25">
      <c r="A15" s="60" t="s">
        <v>207</v>
      </c>
      <c r="B15" s="206" t="s">
        <v>203</v>
      </c>
      <c r="C15" s="60" t="s">
        <v>15</v>
      </c>
      <c r="D15" s="4">
        <v>2.1</v>
      </c>
      <c r="E15" s="4">
        <f>' CCU '!G50</f>
        <v>110.78</v>
      </c>
      <c r="F15" s="4">
        <f t="shared" si="0"/>
        <v>232.63800000000001</v>
      </c>
      <c r="G15" s="130"/>
    </row>
    <row r="16" spans="1:12" x14ac:dyDescent="0.25">
      <c r="A16" s="60" t="s">
        <v>209</v>
      </c>
      <c r="B16" s="206" t="s">
        <v>204</v>
      </c>
      <c r="C16" s="60" t="s">
        <v>15</v>
      </c>
      <c r="D16" s="4">
        <v>93.6</v>
      </c>
      <c r="E16" s="4">
        <f>' CCU '!G67</f>
        <v>34.67</v>
      </c>
      <c r="F16" s="4">
        <f t="shared" si="0"/>
        <v>3245.1120000000001</v>
      </c>
      <c r="G16" s="130"/>
    </row>
    <row r="17" spans="1:11" x14ac:dyDescent="0.25">
      <c r="A17" s="59"/>
      <c r="B17" s="206"/>
      <c r="C17" s="60"/>
      <c r="D17" s="4"/>
      <c r="E17" s="59"/>
      <c r="F17" s="4"/>
      <c r="G17" s="59"/>
    </row>
    <row r="18" spans="1:11" x14ac:dyDescent="0.25">
      <c r="A18" s="59" t="s">
        <v>10</v>
      </c>
      <c r="B18" s="207" t="s">
        <v>226</v>
      </c>
      <c r="C18" s="57"/>
      <c r="D18" s="13"/>
      <c r="E18" s="13"/>
      <c r="F18" s="4"/>
      <c r="G18" s="63">
        <f>SUM(F19:F20)</f>
        <v>458.49440000000004</v>
      </c>
    </row>
    <row r="19" spans="1:11" x14ac:dyDescent="0.25">
      <c r="A19" s="57" t="s">
        <v>211</v>
      </c>
      <c r="B19" s="119" t="s">
        <v>227</v>
      </c>
      <c r="C19" s="116" t="s">
        <v>18</v>
      </c>
      <c r="D19" s="117">
        <v>6.58</v>
      </c>
      <c r="E19" s="13">
        <f>' CCU '!G79</f>
        <v>32.22</v>
      </c>
      <c r="F19" s="4">
        <f t="shared" si="0"/>
        <v>212.0076</v>
      </c>
      <c r="G19" s="13"/>
      <c r="J19" s="3">
        <v>1643.4</v>
      </c>
      <c r="K19" s="11">
        <f>D19*J19</f>
        <v>10813.572</v>
      </c>
    </row>
    <row r="20" spans="1:11" x14ac:dyDescent="0.25">
      <c r="A20" s="57" t="s">
        <v>213</v>
      </c>
      <c r="B20" s="119" t="s">
        <v>228</v>
      </c>
      <c r="C20" s="116" t="s">
        <v>18</v>
      </c>
      <c r="D20" s="13">
        <v>6.58</v>
      </c>
      <c r="E20" s="13">
        <f>' CCU '!G91</f>
        <v>37.46</v>
      </c>
      <c r="F20" s="4">
        <f t="shared" si="0"/>
        <v>246.48680000000002</v>
      </c>
      <c r="G20" s="13"/>
      <c r="J20" s="3">
        <v>1501.5</v>
      </c>
      <c r="K20" s="11">
        <f t="shared" ref="K20:K74" si="1">D20*J20</f>
        <v>9879.8700000000008</v>
      </c>
    </row>
    <row r="21" spans="1:11" x14ac:dyDescent="0.25">
      <c r="A21" s="64"/>
      <c r="B21" s="119"/>
      <c r="C21" s="124"/>
      <c r="D21" s="125"/>
      <c r="E21" s="125"/>
      <c r="F21" s="4"/>
      <c r="G21" s="125"/>
      <c r="J21" s="3"/>
      <c r="K21" s="11"/>
    </row>
    <row r="22" spans="1:11" x14ac:dyDescent="0.25">
      <c r="A22" s="58" t="s">
        <v>11</v>
      </c>
      <c r="B22" s="207" t="s">
        <v>54</v>
      </c>
      <c r="C22" s="57"/>
      <c r="D22" s="13"/>
      <c r="E22" s="13"/>
      <c r="F22" s="4"/>
      <c r="G22" s="63">
        <f>SUM(F23:F26)</f>
        <v>10584.1188</v>
      </c>
      <c r="J22" s="3"/>
      <c r="K22" s="11"/>
    </row>
    <row r="23" spans="1:11" x14ac:dyDescent="0.25">
      <c r="A23" s="57" t="s">
        <v>215</v>
      </c>
      <c r="B23" s="119" t="s">
        <v>229</v>
      </c>
      <c r="C23" s="116" t="s">
        <v>18</v>
      </c>
      <c r="D23" s="13">
        <v>11.17</v>
      </c>
      <c r="E23" s="13">
        <f>' CCU '!G105</f>
        <v>26.76</v>
      </c>
      <c r="F23" s="4">
        <f t="shared" si="0"/>
        <v>298.9092</v>
      </c>
      <c r="G23" s="13"/>
      <c r="J23" s="3"/>
      <c r="K23" s="11"/>
    </row>
    <row r="24" spans="1:11" ht="40.5" x14ac:dyDescent="0.25">
      <c r="A24" s="57" t="s">
        <v>217</v>
      </c>
      <c r="B24" s="119" t="s">
        <v>481</v>
      </c>
      <c r="C24" s="116" t="s">
        <v>18</v>
      </c>
      <c r="D24" s="13">
        <v>222.72</v>
      </c>
      <c r="E24" s="13">
        <f>' CCU '!G122</f>
        <v>11.52</v>
      </c>
      <c r="F24" s="4">
        <f t="shared" si="0"/>
        <v>2565.7343999999998</v>
      </c>
      <c r="G24" s="13"/>
      <c r="J24" s="3"/>
      <c r="K24" s="11"/>
    </row>
    <row r="25" spans="1:11" ht="40.5" x14ac:dyDescent="0.25">
      <c r="A25" s="57" t="s">
        <v>218</v>
      </c>
      <c r="B25" s="119" t="s">
        <v>482</v>
      </c>
      <c r="C25" s="116" t="s">
        <v>18</v>
      </c>
      <c r="D25" s="13">
        <v>222.72</v>
      </c>
      <c r="E25" s="13">
        <f>' CCU '!G136</f>
        <v>31.37</v>
      </c>
      <c r="F25" s="4">
        <f t="shared" si="0"/>
        <v>6986.7264000000005</v>
      </c>
      <c r="G25" s="13"/>
      <c r="J25" s="3"/>
      <c r="K25" s="11"/>
    </row>
    <row r="26" spans="1:11" x14ac:dyDescent="0.25">
      <c r="A26" s="57" t="s">
        <v>219</v>
      </c>
      <c r="B26" s="119" t="s">
        <v>231</v>
      </c>
      <c r="C26" s="116" t="s">
        <v>18</v>
      </c>
      <c r="D26" s="13">
        <v>222.72</v>
      </c>
      <c r="E26" s="13">
        <f>' CCU '!G150</f>
        <v>3.29</v>
      </c>
      <c r="F26" s="4">
        <f t="shared" si="0"/>
        <v>732.74879999999996</v>
      </c>
      <c r="G26" s="13"/>
      <c r="J26" s="3"/>
      <c r="K26" s="11"/>
    </row>
    <row r="27" spans="1:11" x14ac:dyDescent="0.25">
      <c r="A27" s="2"/>
      <c r="B27" s="213"/>
      <c r="C27" s="57"/>
      <c r="D27" s="13"/>
      <c r="E27" s="13"/>
      <c r="F27" s="4"/>
      <c r="G27" s="13"/>
      <c r="J27" s="3"/>
      <c r="K27" s="11"/>
    </row>
    <row r="28" spans="1:11" x14ac:dyDescent="0.25">
      <c r="A28" s="59" t="s">
        <v>13</v>
      </c>
      <c r="B28" s="207" t="s">
        <v>238</v>
      </c>
      <c r="C28" s="57"/>
      <c r="D28" s="13"/>
      <c r="E28" s="13"/>
      <c r="F28" s="4"/>
      <c r="G28" s="63">
        <f>SUM(F29:F35)</f>
        <v>12014.2444</v>
      </c>
      <c r="J28" s="3"/>
      <c r="K28" s="11"/>
    </row>
    <row r="29" spans="1:11" ht="40.5" x14ac:dyDescent="0.25">
      <c r="A29" s="57" t="s">
        <v>220</v>
      </c>
      <c r="B29" s="119" t="s">
        <v>232</v>
      </c>
      <c r="C29" s="203" t="s">
        <v>15</v>
      </c>
      <c r="D29" s="204">
        <v>80.260000000000005</v>
      </c>
      <c r="E29" s="204">
        <f>' CCU '!G166</f>
        <v>44.98</v>
      </c>
      <c r="F29" s="4">
        <f t="shared" si="0"/>
        <v>3610.0947999999999</v>
      </c>
      <c r="G29" s="13"/>
      <c r="J29" s="3"/>
      <c r="K29" s="11"/>
    </row>
    <row r="30" spans="1:11" ht="27" x14ac:dyDescent="0.25">
      <c r="A30" s="57" t="s">
        <v>221</v>
      </c>
      <c r="B30" s="119" t="s">
        <v>483</v>
      </c>
      <c r="C30" s="116" t="s">
        <v>12</v>
      </c>
      <c r="D30" s="13">
        <v>52.4</v>
      </c>
      <c r="E30" s="13">
        <f>' CCU '!G193</f>
        <v>25.1</v>
      </c>
      <c r="F30" s="4">
        <f t="shared" si="0"/>
        <v>1315.24</v>
      </c>
      <c r="G30" s="13"/>
      <c r="J30" s="3"/>
      <c r="K30" s="11"/>
    </row>
    <row r="31" spans="1:11" x14ac:dyDescent="0.25">
      <c r="A31" s="57" t="s">
        <v>223</v>
      </c>
      <c r="B31" s="119" t="s">
        <v>233</v>
      </c>
      <c r="C31" s="116" t="s">
        <v>18</v>
      </c>
      <c r="D31" s="13">
        <v>5.55</v>
      </c>
      <c r="E31" s="13">
        <f>' CCU '!G207</f>
        <v>463.25</v>
      </c>
      <c r="F31" s="4">
        <f t="shared" si="0"/>
        <v>2571.0374999999999</v>
      </c>
      <c r="G31" s="13"/>
      <c r="J31" s="3"/>
      <c r="K31" s="11"/>
    </row>
    <row r="32" spans="1:11" ht="27" x14ac:dyDescent="0.25">
      <c r="A32" s="57" t="s">
        <v>253</v>
      </c>
      <c r="B32" s="119" t="s">
        <v>250</v>
      </c>
      <c r="C32" s="116" t="s">
        <v>48</v>
      </c>
      <c r="D32" s="13">
        <v>88.69</v>
      </c>
      <c r="E32" s="13">
        <f>' CCU '!G223</f>
        <v>10.75</v>
      </c>
      <c r="F32" s="4">
        <f t="shared" si="0"/>
        <v>953.41750000000002</v>
      </c>
      <c r="G32" s="13"/>
      <c r="J32" s="3"/>
      <c r="K32" s="11"/>
    </row>
    <row r="33" spans="1:11" x14ac:dyDescent="0.25">
      <c r="A33" s="57" t="s">
        <v>254</v>
      </c>
      <c r="B33" s="119" t="s">
        <v>234</v>
      </c>
      <c r="C33" s="116" t="s">
        <v>48</v>
      </c>
      <c r="D33" s="13">
        <v>218.14</v>
      </c>
      <c r="E33" s="13">
        <f>' CCU '!G238</f>
        <v>6.06</v>
      </c>
      <c r="F33" s="4">
        <f t="shared" si="0"/>
        <v>1321.9283999999998</v>
      </c>
      <c r="G33" s="13"/>
      <c r="J33" s="3"/>
      <c r="K33" s="11"/>
    </row>
    <row r="34" spans="1:11" x14ac:dyDescent="0.25">
      <c r="A34" s="57" t="s">
        <v>255</v>
      </c>
      <c r="B34" s="119" t="s">
        <v>235</v>
      </c>
      <c r="C34" s="116" t="s">
        <v>48</v>
      </c>
      <c r="D34" s="13">
        <v>85.29</v>
      </c>
      <c r="E34" s="13">
        <f>' CCU '!G253</f>
        <v>6.06</v>
      </c>
      <c r="F34" s="4">
        <f t="shared" si="0"/>
        <v>516.85739999999998</v>
      </c>
      <c r="G34" s="13"/>
      <c r="J34" s="3"/>
      <c r="K34" s="11"/>
    </row>
    <row r="35" spans="1:11" x14ac:dyDescent="0.25">
      <c r="A35" s="57" t="s">
        <v>256</v>
      </c>
      <c r="B35" s="119" t="s">
        <v>236</v>
      </c>
      <c r="C35" s="116" t="s">
        <v>15</v>
      </c>
      <c r="D35" s="13">
        <v>111.19</v>
      </c>
      <c r="E35" s="13">
        <f>' CCU '!G269</f>
        <v>15.52</v>
      </c>
      <c r="F35" s="4">
        <f t="shared" si="0"/>
        <v>1725.6687999999999</v>
      </c>
      <c r="G35" s="13"/>
      <c r="J35" s="3"/>
      <c r="K35" s="11"/>
    </row>
    <row r="36" spans="1:11" x14ac:dyDescent="0.25">
      <c r="A36" s="57"/>
      <c r="B36" s="213"/>
      <c r="C36" s="57"/>
      <c r="D36" s="13"/>
      <c r="E36" s="13"/>
      <c r="F36" s="4"/>
      <c r="G36" s="13"/>
      <c r="J36" s="3"/>
      <c r="K36" s="11"/>
    </row>
    <row r="37" spans="1:11" x14ac:dyDescent="0.25">
      <c r="A37" s="59" t="s">
        <v>14</v>
      </c>
      <c r="B37" s="207" t="s">
        <v>237</v>
      </c>
      <c r="C37" s="57"/>
      <c r="D37" s="13"/>
      <c r="E37" s="13"/>
      <c r="F37" s="4"/>
      <c r="G37" s="63">
        <f>SUM(F38:F46)</f>
        <v>26834.586199999994</v>
      </c>
      <c r="J37" s="3"/>
      <c r="K37" s="11"/>
    </row>
    <row r="38" spans="1:11" x14ac:dyDescent="0.25">
      <c r="A38" s="60" t="s">
        <v>257</v>
      </c>
      <c r="B38" s="119" t="s">
        <v>240</v>
      </c>
      <c r="C38" s="116" t="s">
        <v>239</v>
      </c>
      <c r="D38" s="13">
        <v>99</v>
      </c>
      <c r="E38" s="125">
        <f>' CCU '!G285</f>
        <v>74.209999999999994</v>
      </c>
      <c r="F38" s="4">
        <f t="shared" si="0"/>
        <v>7346.7899999999991</v>
      </c>
      <c r="G38" s="13"/>
      <c r="J38" s="3"/>
      <c r="K38" s="11">
        <f t="shared" si="1"/>
        <v>0</v>
      </c>
    </row>
    <row r="39" spans="1:11" ht="40.5" x14ac:dyDescent="0.25">
      <c r="A39" s="60" t="s">
        <v>258</v>
      </c>
      <c r="B39" s="119" t="s">
        <v>246</v>
      </c>
      <c r="C39" s="116" t="s">
        <v>48</v>
      </c>
      <c r="D39" s="13">
        <v>833.2</v>
      </c>
      <c r="E39" s="13">
        <f>' CCU '!G316</f>
        <v>6.06</v>
      </c>
      <c r="F39" s="4">
        <f t="shared" si="0"/>
        <v>5049.192</v>
      </c>
      <c r="G39" s="13"/>
      <c r="J39" s="3">
        <v>2956.8</v>
      </c>
      <c r="K39" s="11">
        <f t="shared" si="1"/>
        <v>2463605.7600000002</v>
      </c>
    </row>
    <row r="40" spans="1:11" ht="40.5" x14ac:dyDescent="0.25">
      <c r="A40" s="60" t="s">
        <v>259</v>
      </c>
      <c r="B40" s="119" t="s">
        <v>247</v>
      </c>
      <c r="C40" s="116" t="s">
        <v>48</v>
      </c>
      <c r="D40" s="13">
        <v>724.1</v>
      </c>
      <c r="E40" s="13">
        <f>' CCU '!G332</f>
        <v>6.06</v>
      </c>
      <c r="F40" s="4">
        <f t="shared" si="0"/>
        <v>4388.0460000000003</v>
      </c>
      <c r="G40" s="13"/>
      <c r="J40" s="3">
        <v>2963.4</v>
      </c>
      <c r="K40" s="11">
        <f t="shared" si="1"/>
        <v>2145797.94</v>
      </c>
    </row>
    <row r="41" spans="1:11" ht="40.5" x14ac:dyDescent="0.25">
      <c r="A41" s="60" t="s">
        <v>260</v>
      </c>
      <c r="B41" s="119" t="s">
        <v>248</v>
      </c>
      <c r="C41" s="116" t="s">
        <v>48</v>
      </c>
      <c r="D41" s="13">
        <v>162.88999999999999</v>
      </c>
      <c r="E41" s="13">
        <f>' CCU '!G347</f>
        <v>6.06</v>
      </c>
      <c r="F41" s="4">
        <f t="shared" si="0"/>
        <v>987.11339999999984</v>
      </c>
      <c r="G41" s="13"/>
      <c r="J41" s="3"/>
      <c r="K41" s="11"/>
    </row>
    <row r="42" spans="1:11" ht="40.5" x14ac:dyDescent="0.25">
      <c r="A42" s="60" t="s">
        <v>261</v>
      </c>
      <c r="B42" s="119" t="s">
        <v>249</v>
      </c>
      <c r="C42" s="116" t="s">
        <v>48</v>
      </c>
      <c r="D42" s="13">
        <v>209.62</v>
      </c>
      <c r="E42" s="13">
        <f>' CCU '!G362</f>
        <v>8.0399999999999991</v>
      </c>
      <c r="F42" s="4">
        <f t="shared" si="0"/>
        <v>1685.3447999999999</v>
      </c>
      <c r="G42" s="13"/>
      <c r="J42" s="3"/>
      <c r="K42" s="11"/>
    </row>
    <row r="43" spans="1:11" x14ac:dyDescent="0.25">
      <c r="A43" s="60" t="s">
        <v>262</v>
      </c>
      <c r="B43" s="119" t="s">
        <v>241</v>
      </c>
      <c r="C43" s="116" t="s">
        <v>15</v>
      </c>
      <c r="D43" s="13">
        <v>22.02</v>
      </c>
      <c r="E43" s="13">
        <f>' CCU '!G378</f>
        <v>25.22</v>
      </c>
      <c r="F43" s="4">
        <f t="shared" si="0"/>
        <v>555.34439999999995</v>
      </c>
      <c r="G43" s="13"/>
      <c r="J43" s="3">
        <v>3429.12</v>
      </c>
      <c r="K43" s="11">
        <f t="shared" si="1"/>
        <v>75509.222399999999</v>
      </c>
    </row>
    <row r="44" spans="1:11" x14ac:dyDescent="0.25">
      <c r="A44" s="60" t="s">
        <v>263</v>
      </c>
      <c r="B44" s="119" t="s">
        <v>361</v>
      </c>
      <c r="C44" s="116" t="s">
        <v>18</v>
      </c>
      <c r="D44" s="13">
        <v>2.2200000000000002</v>
      </c>
      <c r="E44" s="13">
        <f>' CCU '!G393</f>
        <v>343.06</v>
      </c>
      <c r="F44" s="4">
        <f t="shared" si="0"/>
        <v>761.59320000000002</v>
      </c>
      <c r="G44" s="13"/>
      <c r="J44" s="3">
        <v>800</v>
      </c>
      <c r="K44" s="11">
        <f t="shared" si="1"/>
        <v>1776.0000000000002</v>
      </c>
    </row>
    <row r="45" spans="1:11" x14ac:dyDescent="0.25">
      <c r="A45" s="60" t="s">
        <v>264</v>
      </c>
      <c r="B45" s="213" t="s">
        <v>242</v>
      </c>
      <c r="C45" s="116" t="s">
        <v>18</v>
      </c>
      <c r="D45" s="13">
        <v>13.34</v>
      </c>
      <c r="E45" s="13">
        <f>' CCU '!G427</f>
        <v>398.76</v>
      </c>
      <c r="F45" s="4">
        <f t="shared" si="0"/>
        <v>5319.4583999999995</v>
      </c>
      <c r="G45" s="13"/>
      <c r="J45" s="3"/>
      <c r="K45" s="11"/>
    </row>
    <row r="46" spans="1:11" x14ac:dyDescent="0.25">
      <c r="A46" s="60" t="s">
        <v>265</v>
      </c>
      <c r="B46" s="119" t="s">
        <v>243</v>
      </c>
      <c r="C46" s="116" t="s">
        <v>18</v>
      </c>
      <c r="D46" s="13">
        <v>13.34</v>
      </c>
      <c r="E46" s="13">
        <f>' CCU '!G443</f>
        <v>55.6</v>
      </c>
      <c r="F46" s="4">
        <f t="shared" si="0"/>
        <v>741.70400000000006</v>
      </c>
      <c r="G46" s="13"/>
      <c r="J46" s="3"/>
      <c r="K46" s="11"/>
    </row>
    <row r="47" spans="1:11" x14ac:dyDescent="0.25">
      <c r="A47" s="2"/>
      <c r="C47" s="57"/>
      <c r="D47" s="13"/>
      <c r="E47" s="13"/>
      <c r="F47" s="4"/>
      <c r="G47" s="13"/>
      <c r="J47" s="3"/>
      <c r="K47" s="11">
        <f t="shared" si="1"/>
        <v>0</v>
      </c>
    </row>
    <row r="48" spans="1:11" x14ac:dyDescent="0.25">
      <c r="A48" s="59" t="s">
        <v>16</v>
      </c>
      <c r="B48" s="207" t="s">
        <v>244</v>
      </c>
      <c r="C48" s="57"/>
      <c r="D48" s="13"/>
      <c r="E48" s="13"/>
      <c r="F48" s="4"/>
      <c r="G48" s="63">
        <f>SUM(F49:F54)</f>
        <v>3499.4475999999995</v>
      </c>
      <c r="J48" s="3"/>
      <c r="K48" s="11">
        <f t="shared" si="1"/>
        <v>0</v>
      </c>
    </row>
    <row r="49" spans="1:11" ht="27" x14ac:dyDescent="0.25">
      <c r="A49" s="60" t="s">
        <v>266</v>
      </c>
      <c r="B49" s="119" t="s">
        <v>245</v>
      </c>
      <c r="C49" s="116" t="s">
        <v>15</v>
      </c>
      <c r="D49" s="13">
        <v>21.48</v>
      </c>
      <c r="E49" s="13">
        <f>' CCU '!G461</f>
        <v>56.62</v>
      </c>
      <c r="F49" s="4">
        <f t="shared" si="0"/>
        <v>1216.1976</v>
      </c>
      <c r="G49" s="63"/>
      <c r="J49" s="3"/>
      <c r="K49" s="11"/>
    </row>
    <row r="50" spans="1:11" ht="27" x14ac:dyDescent="0.25">
      <c r="A50" s="60" t="s">
        <v>267</v>
      </c>
      <c r="B50" s="119" t="s">
        <v>251</v>
      </c>
      <c r="C50" s="116" t="s">
        <v>48</v>
      </c>
      <c r="D50" s="13">
        <v>46.44</v>
      </c>
      <c r="E50" s="13">
        <f>' CCU '!G478</f>
        <v>9.26</v>
      </c>
      <c r="F50" s="4">
        <f t="shared" si="0"/>
        <v>430.03439999999995</v>
      </c>
      <c r="G50" s="63"/>
      <c r="J50" s="3"/>
      <c r="K50" s="11"/>
    </row>
    <row r="51" spans="1:11" ht="27" x14ac:dyDescent="0.25">
      <c r="A51" s="60" t="s">
        <v>268</v>
      </c>
      <c r="B51" s="119" t="s">
        <v>252</v>
      </c>
      <c r="C51" s="116" t="s">
        <v>48</v>
      </c>
      <c r="D51" s="13">
        <v>53.8</v>
      </c>
      <c r="E51" s="13">
        <f>' CCU '!G495</f>
        <v>6.0699999999999994</v>
      </c>
      <c r="F51" s="4">
        <f t="shared" si="0"/>
        <v>326.56599999999997</v>
      </c>
      <c r="G51" s="63"/>
      <c r="J51" s="3"/>
      <c r="K51" s="11"/>
    </row>
    <row r="52" spans="1:11" x14ac:dyDescent="0.25">
      <c r="A52" s="60" t="s">
        <v>269</v>
      </c>
      <c r="B52" s="213" t="s">
        <v>242</v>
      </c>
      <c r="C52" s="116" t="s">
        <v>18</v>
      </c>
      <c r="D52" s="13">
        <v>3.36</v>
      </c>
      <c r="E52" s="13">
        <f>' CCU '!G514</f>
        <v>398.76</v>
      </c>
      <c r="F52" s="4">
        <f t="shared" si="0"/>
        <v>1339.8335999999999</v>
      </c>
      <c r="G52" s="13"/>
      <c r="J52" s="3"/>
      <c r="K52" s="11">
        <f t="shared" si="1"/>
        <v>0</v>
      </c>
    </row>
    <row r="53" spans="1:11" x14ac:dyDescent="0.25">
      <c r="A53" s="60" t="s">
        <v>270</v>
      </c>
      <c r="B53" s="119" t="s">
        <v>243</v>
      </c>
      <c r="C53" s="116" t="s">
        <v>18</v>
      </c>
      <c r="D53" s="13">
        <v>3.36</v>
      </c>
      <c r="E53" s="13">
        <f>' CCU '!G528</f>
        <v>55.6</v>
      </c>
      <c r="F53" s="4">
        <f t="shared" si="0"/>
        <v>186.816</v>
      </c>
      <c r="G53" s="13"/>
      <c r="J53" s="3">
        <v>997.6</v>
      </c>
      <c r="K53" s="11">
        <f t="shared" si="1"/>
        <v>3351.9360000000001</v>
      </c>
    </row>
    <row r="54" spans="1:11" x14ac:dyDescent="0.25">
      <c r="A54" s="2"/>
      <c r="B54" s="213"/>
      <c r="C54" s="57"/>
      <c r="D54" s="13"/>
      <c r="E54" s="13"/>
      <c r="F54" s="4"/>
      <c r="G54" s="13"/>
      <c r="J54" s="3">
        <v>12.16</v>
      </c>
      <c r="K54" s="11">
        <f t="shared" si="1"/>
        <v>0</v>
      </c>
    </row>
    <row r="55" spans="1:11" x14ac:dyDescent="0.25">
      <c r="A55" s="59" t="s">
        <v>26</v>
      </c>
      <c r="B55" s="207" t="s">
        <v>271</v>
      </c>
      <c r="C55" s="57"/>
      <c r="D55" s="13"/>
      <c r="E55" s="13"/>
      <c r="F55" s="4"/>
      <c r="G55" s="63">
        <f>SUM(F56:F67)</f>
        <v>9950.1651999999976</v>
      </c>
      <c r="J55" s="3">
        <v>9.83</v>
      </c>
      <c r="K55" s="11">
        <f t="shared" si="1"/>
        <v>0</v>
      </c>
    </row>
    <row r="56" spans="1:11" ht="14.25" customHeight="1" x14ac:dyDescent="0.25">
      <c r="A56" s="57" t="s">
        <v>272</v>
      </c>
      <c r="B56" s="119" t="s">
        <v>484</v>
      </c>
      <c r="C56" s="116" t="s">
        <v>15</v>
      </c>
      <c r="D56" s="13">
        <v>111.9</v>
      </c>
      <c r="E56" s="13">
        <f>' CCU '!G543</f>
        <v>23.3</v>
      </c>
      <c r="F56" s="4">
        <f t="shared" si="0"/>
        <v>2607.2700000000004</v>
      </c>
      <c r="G56" s="13"/>
      <c r="J56" s="3">
        <v>7.93</v>
      </c>
      <c r="K56" s="11">
        <f t="shared" si="1"/>
        <v>887.36699999999996</v>
      </c>
    </row>
    <row r="57" spans="1:11" ht="14.25" customHeight="1" x14ac:dyDescent="0.25">
      <c r="A57" s="57" t="s">
        <v>283</v>
      </c>
      <c r="B57" s="119" t="s">
        <v>312</v>
      </c>
      <c r="C57" s="116" t="s">
        <v>18</v>
      </c>
      <c r="D57" s="13">
        <v>2.5499999999999998</v>
      </c>
      <c r="E57" s="13">
        <f>' CCU '!G557</f>
        <v>116.63</v>
      </c>
      <c r="F57" s="4">
        <f t="shared" si="0"/>
        <v>297.40649999999999</v>
      </c>
      <c r="G57" s="13"/>
      <c r="J57" s="3"/>
      <c r="K57" s="11"/>
    </row>
    <row r="58" spans="1:11" ht="14.25" customHeight="1" x14ac:dyDescent="0.25">
      <c r="A58" s="57" t="s">
        <v>284</v>
      </c>
      <c r="B58" s="119" t="s">
        <v>274</v>
      </c>
      <c r="C58" s="116" t="s">
        <v>12</v>
      </c>
      <c r="D58" s="13">
        <v>21.8</v>
      </c>
      <c r="E58" s="13">
        <f>' CCU '!G572</f>
        <v>26.580000000000002</v>
      </c>
      <c r="F58" s="4">
        <f t="shared" si="0"/>
        <v>579.44400000000007</v>
      </c>
      <c r="G58" s="13"/>
      <c r="J58" s="3"/>
      <c r="K58" s="11"/>
    </row>
    <row r="59" spans="1:11" ht="28.5" customHeight="1" x14ac:dyDescent="0.25">
      <c r="A59" s="57" t="s">
        <v>285</v>
      </c>
      <c r="B59" s="119" t="s">
        <v>485</v>
      </c>
      <c r="C59" s="116" t="s">
        <v>15</v>
      </c>
      <c r="D59" s="13">
        <v>111.9</v>
      </c>
      <c r="E59" s="13">
        <f>' CCU '!G586</f>
        <v>13.99</v>
      </c>
      <c r="F59" s="4">
        <f t="shared" si="0"/>
        <v>1565.481</v>
      </c>
      <c r="G59" s="13"/>
      <c r="J59" s="3"/>
      <c r="K59" s="11"/>
    </row>
    <row r="60" spans="1:11" ht="14.25" customHeight="1" x14ac:dyDescent="0.25">
      <c r="A60" s="57" t="s">
        <v>286</v>
      </c>
      <c r="B60" s="118" t="s">
        <v>314</v>
      </c>
      <c r="C60" s="116" t="s">
        <v>12</v>
      </c>
      <c r="D60" s="13">
        <v>8.4</v>
      </c>
      <c r="E60" s="13">
        <f>' CCU '!G601</f>
        <v>6.16</v>
      </c>
      <c r="F60" s="4">
        <f t="shared" si="0"/>
        <v>51.744000000000007</v>
      </c>
      <c r="G60" s="13"/>
      <c r="J60" s="3"/>
      <c r="K60" s="11"/>
    </row>
    <row r="61" spans="1:11" ht="25.5" customHeight="1" x14ac:dyDescent="0.25">
      <c r="A61" s="57" t="s">
        <v>287</v>
      </c>
      <c r="B61" s="119" t="s">
        <v>276</v>
      </c>
      <c r="C61" s="116" t="s">
        <v>61</v>
      </c>
      <c r="D61" s="13">
        <v>9</v>
      </c>
      <c r="E61" s="13">
        <f>' CCU '!G618</f>
        <v>72.290000000000006</v>
      </c>
      <c r="F61" s="4">
        <f t="shared" si="0"/>
        <v>650.61</v>
      </c>
      <c r="G61" s="13"/>
      <c r="J61" s="3"/>
      <c r="K61" s="11"/>
    </row>
    <row r="62" spans="1:11" ht="27" x14ac:dyDescent="0.25">
      <c r="A62" s="57" t="s">
        <v>288</v>
      </c>
      <c r="B62" s="119" t="s">
        <v>277</v>
      </c>
      <c r="C62" s="116" t="s">
        <v>61</v>
      </c>
      <c r="D62" s="13">
        <v>1</v>
      </c>
      <c r="E62" s="13">
        <f>' CCU '!G635</f>
        <v>81.02</v>
      </c>
      <c r="F62" s="4">
        <f t="shared" si="0"/>
        <v>81.02</v>
      </c>
      <c r="G62" s="13"/>
      <c r="J62" s="3"/>
      <c r="K62" s="11"/>
    </row>
    <row r="63" spans="1:11" ht="27" x14ac:dyDescent="0.25">
      <c r="A63" s="57" t="s">
        <v>289</v>
      </c>
      <c r="B63" s="119" t="s">
        <v>486</v>
      </c>
      <c r="C63" s="116" t="s">
        <v>12</v>
      </c>
      <c r="D63" s="13">
        <v>21.8</v>
      </c>
      <c r="E63" s="13">
        <f>' CCU '!G656</f>
        <v>112.25</v>
      </c>
      <c r="F63" s="4">
        <f t="shared" si="0"/>
        <v>2447.0500000000002</v>
      </c>
      <c r="G63" s="13"/>
      <c r="J63" s="3"/>
      <c r="K63" s="11"/>
    </row>
    <row r="64" spans="1:11" x14ac:dyDescent="0.25">
      <c r="A64" s="57" t="s">
        <v>290</v>
      </c>
      <c r="B64" s="119" t="s">
        <v>278</v>
      </c>
      <c r="C64" s="116" t="s">
        <v>61</v>
      </c>
      <c r="D64" s="13">
        <v>1</v>
      </c>
      <c r="E64" s="13">
        <f>' CCU '!G696</f>
        <v>295.21999999999997</v>
      </c>
      <c r="F64" s="4">
        <f t="shared" si="0"/>
        <v>295.21999999999997</v>
      </c>
      <c r="G64" s="13"/>
      <c r="J64" s="3"/>
      <c r="K64" s="11"/>
    </row>
    <row r="65" spans="1:11" ht="27" x14ac:dyDescent="0.25">
      <c r="A65" s="57" t="s">
        <v>291</v>
      </c>
      <c r="B65" s="119" t="s">
        <v>279</v>
      </c>
      <c r="C65" s="116" t="s">
        <v>12</v>
      </c>
      <c r="D65" s="13">
        <v>3.5</v>
      </c>
      <c r="E65" s="13">
        <f>' CCU '!G714</f>
        <v>69.290000000000006</v>
      </c>
      <c r="F65" s="4">
        <f t="shared" si="0"/>
        <v>242.51500000000001</v>
      </c>
      <c r="G65" s="13"/>
      <c r="J65" s="3"/>
      <c r="K65" s="11"/>
    </row>
    <row r="66" spans="1:11" x14ac:dyDescent="0.25">
      <c r="A66" s="57" t="s">
        <v>292</v>
      </c>
      <c r="B66" s="119" t="s">
        <v>280</v>
      </c>
      <c r="C66" s="116" t="s">
        <v>18</v>
      </c>
      <c r="D66" s="13">
        <v>0.41</v>
      </c>
      <c r="E66" s="13">
        <f>' CCU '!G727</f>
        <v>115.67</v>
      </c>
      <c r="F66" s="4">
        <f t="shared" si="0"/>
        <v>47.424700000000001</v>
      </c>
      <c r="G66" s="13"/>
      <c r="J66" s="3"/>
      <c r="K66" s="11"/>
    </row>
    <row r="67" spans="1:11" ht="14.25" customHeight="1" x14ac:dyDescent="0.25">
      <c r="A67" s="57" t="s">
        <v>293</v>
      </c>
      <c r="B67" s="119" t="s">
        <v>281</v>
      </c>
      <c r="C67" s="116" t="s">
        <v>15</v>
      </c>
      <c r="D67" s="13">
        <v>26</v>
      </c>
      <c r="E67" s="13">
        <f>' CCU '!G744</f>
        <v>41.73</v>
      </c>
      <c r="F67" s="4">
        <f t="shared" si="0"/>
        <v>1084.98</v>
      </c>
      <c r="G67" s="13"/>
      <c r="J67" s="3"/>
      <c r="K67" s="11"/>
    </row>
    <row r="68" spans="1:11" ht="14.25" customHeight="1" x14ac:dyDescent="0.25">
      <c r="A68" s="57"/>
      <c r="B68" s="119"/>
      <c r="C68" s="116"/>
      <c r="D68" s="13"/>
      <c r="E68" s="13"/>
      <c r="F68" s="4"/>
      <c r="G68" s="13"/>
      <c r="J68" s="3"/>
      <c r="K68" s="11"/>
    </row>
    <row r="69" spans="1:11" x14ac:dyDescent="0.25">
      <c r="A69" s="58" t="s">
        <v>55</v>
      </c>
      <c r="B69" s="207" t="s">
        <v>294</v>
      </c>
      <c r="C69" s="57"/>
      <c r="D69" s="13"/>
      <c r="E69" s="13"/>
      <c r="F69" s="4"/>
      <c r="G69" s="63">
        <f>SUM(F70:F71)</f>
        <v>4388</v>
      </c>
      <c r="J69" s="3">
        <v>2.5499999999999998</v>
      </c>
      <c r="K69" s="11">
        <f t="shared" si="1"/>
        <v>0</v>
      </c>
    </row>
    <row r="70" spans="1:11" ht="27" x14ac:dyDescent="0.25">
      <c r="A70" s="57" t="s">
        <v>282</v>
      </c>
      <c r="B70" s="119" t="s">
        <v>295</v>
      </c>
      <c r="C70" s="116" t="s">
        <v>299</v>
      </c>
      <c r="D70" s="13">
        <v>3</v>
      </c>
      <c r="E70" s="13">
        <f>' CCU '!G761</f>
        <v>94.88</v>
      </c>
      <c r="F70" s="4">
        <f t="shared" si="0"/>
        <v>284.64</v>
      </c>
      <c r="G70" s="13"/>
      <c r="J70" s="3">
        <v>5.08</v>
      </c>
      <c r="K70" s="11">
        <f t="shared" si="1"/>
        <v>15.24</v>
      </c>
    </row>
    <row r="71" spans="1:11" ht="40.5" x14ac:dyDescent="0.25">
      <c r="A71" s="57" t="s">
        <v>304</v>
      </c>
      <c r="B71" s="119" t="s">
        <v>296</v>
      </c>
      <c r="C71" s="116" t="s">
        <v>299</v>
      </c>
      <c r="D71" s="13">
        <v>32</v>
      </c>
      <c r="E71" s="13">
        <f>' CCU '!G781</f>
        <v>128.22999999999999</v>
      </c>
      <c r="F71" s="4">
        <f t="shared" si="0"/>
        <v>4103.3599999999997</v>
      </c>
      <c r="G71" s="13"/>
      <c r="J71" s="3"/>
      <c r="K71" s="11"/>
    </row>
    <row r="72" spans="1:11" x14ac:dyDescent="0.25">
      <c r="A72" s="2"/>
      <c r="B72" s="213"/>
      <c r="C72" s="13"/>
      <c r="D72" s="13"/>
      <c r="E72" s="13"/>
      <c r="F72" s="4"/>
      <c r="G72" s="13"/>
      <c r="J72" s="3">
        <v>1247</v>
      </c>
      <c r="K72" s="11">
        <f t="shared" si="1"/>
        <v>0</v>
      </c>
    </row>
    <row r="73" spans="1:11" x14ac:dyDescent="0.25">
      <c r="A73" s="58" t="s">
        <v>56</v>
      </c>
      <c r="B73" s="207" t="s">
        <v>297</v>
      </c>
      <c r="C73" s="13"/>
      <c r="D73" s="13"/>
      <c r="E73" s="13"/>
      <c r="F73" s="4"/>
      <c r="G73" s="63">
        <f>SUM(F74)</f>
        <v>7124.9567999999999</v>
      </c>
      <c r="J73" s="3">
        <v>12.16</v>
      </c>
      <c r="K73" s="11">
        <f t="shared" si="1"/>
        <v>0</v>
      </c>
    </row>
    <row r="74" spans="1:11" x14ac:dyDescent="0.25">
      <c r="A74" s="62" t="s">
        <v>298</v>
      </c>
      <c r="B74" s="119" t="s">
        <v>319</v>
      </c>
      <c r="C74" s="116" t="s">
        <v>15</v>
      </c>
      <c r="D74" s="13">
        <v>28.86</v>
      </c>
      <c r="E74" s="13">
        <f>' CCU '!G798</f>
        <v>246.88</v>
      </c>
      <c r="F74" s="4">
        <f t="shared" si="0"/>
        <v>7124.9567999999999</v>
      </c>
      <c r="G74" s="63"/>
      <c r="H74" s="1" t="e">
        <f>SUM(#REF!)</f>
        <v>#REF!</v>
      </c>
      <c r="J74" s="3">
        <v>9.83</v>
      </c>
      <c r="K74" s="11">
        <f t="shared" si="1"/>
        <v>283.69380000000001</v>
      </c>
    </row>
    <row r="75" spans="1:11" x14ac:dyDescent="0.25">
      <c r="A75" s="62"/>
      <c r="B75" s="119"/>
      <c r="C75" s="116"/>
      <c r="D75" s="13"/>
      <c r="E75" s="13"/>
      <c r="F75" s="4"/>
      <c r="G75" s="63"/>
      <c r="H75" s="1"/>
      <c r="J75" s="3"/>
      <c r="K75" s="11"/>
    </row>
    <row r="76" spans="1:11" x14ac:dyDescent="0.25">
      <c r="A76" s="126" t="s">
        <v>57</v>
      </c>
      <c r="B76" s="208" t="s">
        <v>305</v>
      </c>
      <c r="C76" s="4"/>
      <c r="D76" s="4"/>
      <c r="E76" s="4"/>
      <c r="F76" s="4"/>
      <c r="G76" s="63">
        <f>SUM(F77:F80)</f>
        <v>1060.9765</v>
      </c>
      <c r="H76" s="1"/>
      <c r="J76" s="3"/>
      <c r="K76" s="11"/>
    </row>
    <row r="77" spans="1:11" x14ac:dyDescent="0.25">
      <c r="A77" s="57" t="s">
        <v>300</v>
      </c>
      <c r="B77" s="214" t="s">
        <v>306</v>
      </c>
      <c r="C77" s="116" t="s">
        <v>12</v>
      </c>
      <c r="D77" s="4">
        <v>13.77</v>
      </c>
      <c r="E77" s="4">
        <f>' CCU '!G824</f>
        <v>8.9599999999999991</v>
      </c>
      <c r="F77" s="4">
        <f t="shared" si="0"/>
        <v>123.37919999999998</v>
      </c>
      <c r="G77" s="13"/>
      <c r="H77" s="1"/>
      <c r="J77" s="3"/>
      <c r="K77" s="11"/>
    </row>
    <row r="78" spans="1:11" ht="27" x14ac:dyDescent="0.25">
      <c r="A78" s="57" t="s">
        <v>301</v>
      </c>
      <c r="B78" s="119" t="s">
        <v>307</v>
      </c>
      <c r="C78" s="116" t="s">
        <v>12</v>
      </c>
      <c r="D78" s="4">
        <v>13.77</v>
      </c>
      <c r="E78" s="4">
        <f>' CCU '!G842</f>
        <v>12.49</v>
      </c>
      <c r="F78" s="4">
        <f t="shared" ref="F78:F80" si="2">D78*E78</f>
        <v>171.9873</v>
      </c>
      <c r="G78" s="13"/>
      <c r="J78" s="4"/>
      <c r="K78" s="11"/>
    </row>
    <row r="79" spans="1:11" ht="27" x14ac:dyDescent="0.25">
      <c r="A79" s="57" t="s">
        <v>302</v>
      </c>
      <c r="B79" s="119" t="s">
        <v>308</v>
      </c>
      <c r="C79" s="227" t="s">
        <v>12</v>
      </c>
      <c r="D79" s="132">
        <v>6</v>
      </c>
      <c r="E79" s="4">
        <f>' CCU '!G859</f>
        <v>24.62</v>
      </c>
      <c r="F79" s="4">
        <f t="shared" si="2"/>
        <v>147.72</v>
      </c>
      <c r="G79" s="133"/>
      <c r="J79" s="4"/>
      <c r="K79" s="11"/>
    </row>
    <row r="80" spans="1:11" x14ac:dyDescent="0.25">
      <c r="A80" s="57" t="s">
        <v>303</v>
      </c>
      <c r="B80" s="215" t="s">
        <v>309</v>
      </c>
      <c r="C80" s="227" t="s">
        <v>15</v>
      </c>
      <c r="D80" s="132">
        <v>9.1</v>
      </c>
      <c r="E80" s="4">
        <f>' CCU '!G875</f>
        <v>67.900000000000006</v>
      </c>
      <c r="F80" s="4">
        <f t="shared" si="2"/>
        <v>617.89</v>
      </c>
      <c r="G80" s="133"/>
      <c r="J80" s="4"/>
      <c r="K80" s="11"/>
    </row>
    <row r="81" spans="1:11" x14ac:dyDescent="0.25">
      <c r="A81" s="131"/>
      <c r="B81" s="215"/>
      <c r="C81" s="227"/>
      <c r="D81" s="132"/>
      <c r="E81" s="132"/>
      <c r="F81" s="133"/>
      <c r="G81" s="133"/>
      <c r="J81" s="4"/>
      <c r="K81" s="11"/>
    </row>
    <row r="82" spans="1:11" x14ac:dyDescent="0.25">
      <c r="A82" s="10"/>
      <c r="B82" s="216"/>
      <c r="C82" s="228"/>
      <c r="D82" s="65"/>
      <c r="E82" s="66" t="s">
        <v>19</v>
      </c>
      <c r="F82" s="66"/>
      <c r="G82" s="67">
        <f>SUM(G12:G79)</f>
        <v>98002.979899999991</v>
      </c>
      <c r="H82" s="252">
        <v>98002.98</v>
      </c>
      <c r="I82" s="1">
        <f>G84-H82</f>
        <v>-1.0000000474974513E-4</v>
      </c>
      <c r="J82" s="4"/>
      <c r="K82" s="11"/>
    </row>
    <row r="83" spans="1:11" x14ac:dyDescent="0.25">
      <c r="A83" s="10"/>
      <c r="B83" s="216"/>
      <c r="C83" s="228"/>
      <c r="D83" s="65"/>
      <c r="E83" s="134"/>
      <c r="F83" s="136"/>
      <c r="G83" s="135"/>
      <c r="J83" s="4"/>
      <c r="K83" s="11"/>
    </row>
    <row r="84" spans="1:11" x14ac:dyDescent="0.25">
      <c r="A84" s="10"/>
      <c r="B84" s="216"/>
      <c r="C84" s="228"/>
      <c r="D84" s="65"/>
      <c r="E84" s="68" t="s">
        <v>21</v>
      </c>
      <c r="F84" s="68"/>
      <c r="G84" s="67">
        <f>SUM(G82:G83)</f>
        <v>98002.979899999991</v>
      </c>
      <c r="H84" s="1">
        <f>G82*0.94</f>
        <v>92122.801105999984</v>
      </c>
      <c r="J84" s="4"/>
      <c r="K84" s="11"/>
    </row>
    <row r="85" spans="1:11" x14ac:dyDescent="0.25">
      <c r="A85" s="69"/>
      <c r="B85" s="217"/>
      <c r="C85" s="229"/>
      <c r="D85" s="70"/>
      <c r="E85" s="71"/>
      <c r="F85" s="71"/>
      <c r="G85" s="72"/>
      <c r="H85" s="1">
        <f>H84*F83</f>
        <v>0</v>
      </c>
      <c r="J85" s="4"/>
      <c r="K85" s="11"/>
    </row>
    <row r="86" spans="1:11" x14ac:dyDescent="0.25">
      <c r="H86" s="1">
        <f>SUM(H84:H85)</f>
        <v>92122.801105999984</v>
      </c>
    </row>
    <row r="88" spans="1:11" x14ac:dyDescent="0.25">
      <c r="B88" s="218" t="s">
        <v>45</v>
      </c>
      <c r="C88" s="289" t="s">
        <v>59</v>
      </c>
      <c r="D88" s="289"/>
      <c r="E88" s="289"/>
      <c r="F88" s="291" t="s">
        <v>180</v>
      </c>
      <c r="G88" s="291"/>
      <c r="H88" s="185"/>
    </row>
    <row r="89" spans="1:11" x14ac:dyDescent="0.25">
      <c r="B89" s="218" t="s">
        <v>46</v>
      </c>
      <c r="C89" s="290" t="s">
        <v>60</v>
      </c>
      <c r="D89" s="290"/>
      <c r="E89" s="290"/>
      <c r="F89" s="292" t="s">
        <v>181</v>
      </c>
      <c r="G89" s="292"/>
      <c r="H89" s="202">
        <f>H86/G92</f>
        <v>0.13888204365256143</v>
      </c>
    </row>
    <row r="92" spans="1:11" x14ac:dyDescent="0.25">
      <c r="G92" s="230">
        <v>663316.86</v>
      </c>
    </row>
    <row r="93" spans="1:11" x14ac:dyDescent="0.25">
      <c r="F93" s="231"/>
      <c r="G93" s="231">
        <f>G84</f>
        <v>98002.979899999991</v>
      </c>
      <c r="K93" s="1" t="e">
        <f>#REF!-#REF!</f>
        <v>#REF!</v>
      </c>
    </row>
    <row r="94" spans="1:11" x14ac:dyDescent="0.25">
      <c r="G94" s="231">
        <f>G92-G93</f>
        <v>565313.88009999995</v>
      </c>
    </row>
    <row r="96" spans="1:11" x14ac:dyDescent="0.25">
      <c r="K96" s="12" t="e">
        <f>K93/#REF!</f>
        <v>#REF!</v>
      </c>
    </row>
    <row r="97" spans="7:8" x14ac:dyDescent="0.25">
      <c r="G97" s="232">
        <f>G94/G92</f>
        <v>0.85225314505046645</v>
      </c>
    </row>
    <row r="98" spans="7:8" x14ac:dyDescent="0.25">
      <c r="G98" s="230">
        <v>663316.86</v>
      </c>
    </row>
    <row r="99" spans="7:8" x14ac:dyDescent="0.25">
      <c r="G99" s="230">
        <f>G92*0.87</f>
        <v>577085.66819999996</v>
      </c>
    </row>
    <row r="100" spans="7:8" x14ac:dyDescent="0.25">
      <c r="G100" s="231">
        <f>G98-G99</f>
        <v>86231.19180000003</v>
      </c>
      <c r="H100" s="201">
        <f>G100/G92</f>
        <v>0.13000000000000006</v>
      </c>
    </row>
  </sheetData>
  <mergeCells count="15">
    <mergeCell ref="C88:E88"/>
    <mergeCell ref="C89:E89"/>
    <mergeCell ref="F88:G88"/>
    <mergeCell ref="F89:G89"/>
    <mergeCell ref="B10:B11"/>
    <mergeCell ref="A10:A11"/>
    <mergeCell ref="A1:G1"/>
    <mergeCell ref="A2:G2"/>
    <mergeCell ref="A3:G3"/>
    <mergeCell ref="A4:G4"/>
    <mergeCell ref="A8:G8"/>
    <mergeCell ref="G10:G11"/>
    <mergeCell ref="E10:F10"/>
    <mergeCell ref="C10:C11"/>
    <mergeCell ref="D10:D1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53" orientation="portrait" r:id="rId1"/>
  <rowBreaks count="1" manualBreakCount="1">
    <brk id="68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3"/>
  <sheetViews>
    <sheetView view="pageBreakPreview" topLeftCell="A634" zoomScale="130" zoomScaleNormal="115" zoomScaleSheetLayoutView="130" workbookViewId="0">
      <selection activeCell="B641" sqref="B641:B649"/>
    </sheetView>
  </sheetViews>
  <sheetFormatPr defaultRowHeight="15" x14ac:dyDescent="0.25"/>
  <cols>
    <col min="1" max="1" width="11.140625" style="17" customWidth="1"/>
    <col min="2" max="2" width="35" style="17" customWidth="1"/>
    <col min="3" max="4" width="9.140625" style="17"/>
    <col min="5" max="5" width="11.140625" style="17" customWidth="1"/>
    <col min="6" max="6" width="10.140625" style="17" bestFit="1" customWidth="1"/>
    <col min="7" max="7" width="12" style="17" customWidth="1"/>
    <col min="8" max="8" width="12.85546875" style="17" customWidth="1"/>
    <col min="9" max="9" width="12" style="17" customWidth="1"/>
    <col min="10" max="10" width="9.140625" style="17"/>
    <col min="11" max="11" width="10.140625" style="17" bestFit="1" customWidth="1"/>
    <col min="12" max="16384" width="9.140625" style="17"/>
  </cols>
  <sheetData>
    <row r="1" spans="1:9" ht="24" customHeight="1" x14ac:dyDescent="0.25">
      <c r="A1" s="301" t="s">
        <v>22</v>
      </c>
      <c r="B1" s="301"/>
      <c r="C1" s="301"/>
      <c r="D1" s="301"/>
      <c r="E1" s="301"/>
      <c r="F1" s="301"/>
      <c r="G1" s="301"/>
    </row>
    <row r="2" spans="1:9" x14ac:dyDescent="0.25">
      <c r="A2" s="302" t="s">
        <v>23</v>
      </c>
      <c r="B2" s="302"/>
      <c r="C2" s="302"/>
      <c r="D2" s="302"/>
      <c r="E2" s="302"/>
      <c r="F2" s="302"/>
      <c r="G2" s="302"/>
    </row>
    <row r="3" spans="1:9" x14ac:dyDescent="0.25">
      <c r="A3" s="303" t="s">
        <v>24</v>
      </c>
      <c r="B3" s="303"/>
      <c r="C3" s="303"/>
      <c r="D3" s="303"/>
      <c r="E3" s="303"/>
      <c r="F3" s="303"/>
      <c r="G3" s="303"/>
    </row>
    <row r="4" spans="1:9" x14ac:dyDescent="0.25">
      <c r="A4" s="303" t="s">
        <v>25</v>
      </c>
      <c r="B4" s="303"/>
      <c r="C4" s="303"/>
      <c r="D4" s="303"/>
      <c r="E4" s="303"/>
      <c r="F4" s="303"/>
      <c r="G4" s="303"/>
    </row>
    <row r="5" spans="1:9" x14ac:dyDescent="0.25">
      <c r="A5" s="115"/>
      <c r="B5" s="115"/>
      <c r="C5" s="115"/>
      <c r="D5" s="115"/>
      <c r="E5" s="115"/>
      <c r="F5" s="115"/>
      <c r="G5" s="115"/>
    </row>
    <row r="6" spans="1:9" ht="27.75" customHeight="1" x14ac:dyDescent="0.25">
      <c r="A6" s="26" t="s">
        <v>27</v>
      </c>
      <c r="B6" s="304" t="s">
        <v>199</v>
      </c>
      <c r="C6" s="304"/>
      <c r="D6" s="304"/>
      <c r="E6" s="304"/>
      <c r="F6" s="304"/>
      <c r="G6" s="304"/>
    </row>
    <row r="7" spans="1:9" x14ac:dyDescent="0.25">
      <c r="A7" s="26" t="s">
        <v>28</v>
      </c>
      <c r="B7" s="27" t="s">
        <v>82</v>
      </c>
      <c r="C7" s="28"/>
      <c r="D7" s="28"/>
      <c r="E7" s="28"/>
      <c r="F7" s="28"/>
      <c r="G7" s="28"/>
    </row>
    <row r="8" spans="1:9" x14ac:dyDescent="0.25">
      <c r="A8" s="305" t="s">
        <v>29</v>
      </c>
      <c r="B8" s="305"/>
      <c r="C8" s="305"/>
      <c r="D8" s="305"/>
      <c r="E8" s="305"/>
      <c r="F8" s="305"/>
      <c r="G8" s="305"/>
    </row>
    <row r="9" spans="1:9" x14ac:dyDescent="0.25">
      <c r="A9" s="75"/>
      <c r="B9" s="307" t="s">
        <v>30</v>
      </c>
      <c r="C9" s="307"/>
      <c r="D9" s="307"/>
      <c r="E9" s="30">
        <v>0.86599999999999999</v>
      </c>
      <c r="F9" s="75"/>
      <c r="G9" s="75"/>
    </row>
    <row r="10" spans="1:9" x14ac:dyDescent="0.25">
      <c r="A10" s="29"/>
      <c r="B10" s="306" t="s">
        <v>66</v>
      </c>
      <c r="C10" s="306"/>
      <c r="D10" s="306"/>
      <c r="E10" s="30">
        <v>0.49170000000000003</v>
      </c>
      <c r="F10" s="31" t="s">
        <v>20</v>
      </c>
      <c r="G10" s="32">
        <v>0.28349999999999997</v>
      </c>
    </row>
    <row r="11" spans="1:9" ht="18" x14ac:dyDescent="0.25">
      <c r="A11" s="33" t="s">
        <v>1</v>
      </c>
      <c r="B11" s="34" t="s">
        <v>2</v>
      </c>
      <c r="C11" s="35" t="s">
        <v>31</v>
      </c>
      <c r="D11" s="35" t="s">
        <v>3</v>
      </c>
      <c r="E11" s="36" t="s">
        <v>32</v>
      </c>
      <c r="F11" s="37" t="s">
        <v>33</v>
      </c>
      <c r="G11" s="37" t="s">
        <v>34</v>
      </c>
      <c r="I11" s="17">
        <v>3100</v>
      </c>
    </row>
    <row r="12" spans="1:9" x14ac:dyDescent="0.25">
      <c r="A12" s="33" t="s">
        <v>205</v>
      </c>
      <c r="B12" s="73" t="s">
        <v>201</v>
      </c>
      <c r="C12" s="20" t="s">
        <v>50</v>
      </c>
      <c r="D12" s="20" t="s">
        <v>3</v>
      </c>
      <c r="E12" s="21" t="s">
        <v>51</v>
      </c>
      <c r="F12" s="22" t="s">
        <v>52</v>
      </c>
      <c r="G12" s="22" t="s">
        <v>49</v>
      </c>
    </row>
    <row r="13" spans="1:9" ht="18" x14ac:dyDescent="0.25">
      <c r="A13" s="18" t="s">
        <v>337</v>
      </c>
      <c r="B13" s="95" t="s">
        <v>413</v>
      </c>
      <c r="C13" s="41"/>
      <c r="D13" s="41" t="s">
        <v>47</v>
      </c>
      <c r="E13" s="49">
        <v>1</v>
      </c>
      <c r="F13" s="43">
        <v>25.63</v>
      </c>
      <c r="G13" s="50">
        <f>F13*E13</f>
        <v>25.63</v>
      </c>
      <c r="I13" s="17">
        <v>31.46</v>
      </c>
    </row>
    <row r="14" spans="1:9" x14ac:dyDescent="0.25">
      <c r="A14" s="18"/>
      <c r="B14" s="95"/>
      <c r="C14" s="41"/>
      <c r="D14" s="41"/>
      <c r="E14" s="49"/>
      <c r="F14" s="50"/>
      <c r="G14" s="50"/>
      <c r="H14" s="17">
        <v>6.13</v>
      </c>
    </row>
    <row r="15" spans="1:9" x14ac:dyDescent="0.25">
      <c r="A15" s="295" t="s">
        <v>39</v>
      </c>
      <c r="B15" s="295"/>
      <c r="C15" s="295"/>
      <c r="D15" s="295"/>
      <c r="E15" s="295"/>
      <c r="F15" s="295"/>
      <c r="G15" s="16">
        <f>SUM(G13)</f>
        <v>25.63</v>
      </c>
    </row>
    <row r="16" spans="1:9" x14ac:dyDescent="0.25">
      <c r="A16" s="295" t="s">
        <v>339</v>
      </c>
      <c r="B16" s="295"/>
      <c r="C16" s="295"/>
      <c r="D16" s="295"/>
      <c r="E16" s="295"/>
      <c r="F16" s="295"/>
      <c r="G16" s="16">
        <f>SUM(G14:G14)</f>
        <v>0</v>
      </c>
      <c r="I16" s="17">
        <f>F13/G19</f>
        <v>0.53590568060021426</v>
      </c>
    </row>
    <row r="17" spans="1:9" x14ac:dyDescent="0.25">
      <c r="A17" s="295" t="s">
        <v>41</v>
      </c>
      <c r="B17" s="295"/>
      <c r="C17" s="295"/>
      <c r="D17" s="295"/>
      <c r="E17" s="295"/>
      <c r="F17" s="44">
        <f>E9</f>
        <v>0.86599999999999999</v>
      </c>
      <c r="G17" s="16">
        <f>(F17)*G15</f>
        <v>22.19558</v>
      </c>
    </row>
    <row r="18" spans="1:9" x14ac:dyDescent="0.25">
      <c r="A18" s="295" t="s">
        <v>42</v>
      </c>
      <c r="B18" s="295"/>
      <c r="C18" s="295"/>
      <c r="D18" s="295"/>
      <c r="E18" s="295"/>
      <c r="F18" s="44">
        <f>G10</f>
        <v>0.28349999999999997</v>
      </c>
      <c r="G18" s="16">
        <f>G19*F18</f>
        <v>13.55855193</v>
      </c>
    </row>
    <row r="19" spans="1:9" x14ac:dyDescent="0.25">
      <c r="A19" s="295" t="s">
        <v>43</v>
      </c>
      <c r="B19" s="295"/>
      <c r="C19" s="295"/>
      <c r="D19" s="295"/>
      <c r="E19" s="295"/>
      <c r="F19" s="295"/>
      <c r="G19" s="16">
        <f>SUM(G15:G17)</f>
        <v>47.825580000000002</v>
      </c>
    </row>
    <row r="20" spans="1:9" x14ac:dyDescent="0.25">
      <c r="A20" s="295" t="s">
        <v>44</v>
      </c>
      <c r="B20" s="295"/>
      <c r="C20" s="295"/>
      <c r="D20" s="295"/>
      <c r="E20" s="295"/>
      <c r="F20" s="295"/>
      <c r="G20" s="15">
        <f>TRUNC(G18+G19,2)</f>
        <v>61.38</v>
      </c>
      <c r="H20" s="17">
        <v>61.26</v>
      </c>
      <c r="I20" s="25">
        <f>G20-H20</f>
        <v>0.12000000000000455</v>
      </c>
    </row>
    <row r="21" spans="1:9" x14ac:dyDescent="0.25">
      <c r="A21" s="46"/>
      <c r="B21" s="46"/>
      <c r="C21" s="46"/>
      <c r="D21" s="46"/>
      <c r="E21" s="46"/>
      <c r="F21" s="46"/>
      <c r="G21" s="47"/>
    </row>
    <row r="22" spans="1:9" x14ac:dyDescent="0.25">
      <c r="A22" s="46"/>
      <c r="B22" s="48" t="s">
        <v>45</v>
      </c>
      <c r="C22" s="296" t="s">
        <v>59</v>
      </c>
      <c r="D22" s="296"/>
      <c r="E22" s="296"/>
      <c r="F22" s="46"/>
      <c r="G22" s="47"/>
      <c r="H22" s="17">
        <v>61.388500000000001</v>
      </c>
    </row>
    <row r="23" spans="1:9" ht="9.75" customHeight="1" x14ac:dyDescent="0.25">
      <c r="A23" s="46"/>
      <c r="B23" s="48" t="s">
        <v>46</v>
      </c>
      <c r="C23" s="297" t="s">
        <v>60</v>
      </c>
      <c r="D23" s="297"/>
      <c r="E23" s="297"/>
      <c r="F23" s="46"/>
      <c r="G23" s="47"/>
    </row>
    <row r="24" spans="1:9" ht="18" x14ac:dyDescent="0.25">
      <c r="A24" s="33" t="s">
        <v>1</v>
      </c>
      <c r="B24" s="34" t="s">
        <v>2</v>
      </c>
      <c r="C24" s="35" t="s">
        <v>31</v>
      </c>
      <c r="D24" s="35" t="s">
        <v>3</v>
      </c>
      <c r="E24" s="36" t="s">
        <v>32</v>
      </c>
      <c r="F24" s="37" t="s">
        <v>33</v>
      </c>
      <c r="G24" s="37" t="s">
        <v>34</v>
      </c>
    </row>
    <row r="25" spans="1:9" ht="15.75" customHeight="1" x14ac:dyDescent="0.25">
      <c r="A25" s="33" t="s">
        <v>206</v>
      </c>
      <c r="B25" s="73" t="s">
        <v>202</v>
      </c>
      <c r="C25" s="20" t="s">
        <v>50</v>
      </c>
      <c r="D25" s="20" t="s">
        <v>3</v>
      </c>
      <c r="E25" s="21" t="s">
        <v>51</v>
      </c>
      <c r="F25" s="22" t="s">
        <v>52</v>
      </c>
      <c r="G25" s="22" t="s">
        <v>49</v>
      </c>
    </row>
    <row r="26" spans="1:9" ht="18" x14ac:dyDescent="0.25">
      <c r="A26" s="18" t="s">
        <v>338</v>
      </c>
      <c r="B26" s="95" t="s">
        <v>416</v>
      </c>
      <c r="C26" s="41"/>
      <c r="D26" s="41" t="s">
        <v>47</v>
      </c>
      <c r="E26" s="49">
        <v>1</v>
      </c>
      <c r="F26" s="43">
        <v>9.2609999999999992</v>
      </c>
      <c r="G26" s="50">
        <f>F26*E26</f>
        <v>9.2609999999999992</v>
      </c>
    </row>
    <row r="27" spans="1:9" ht="15.75" customHeight="1" x14ac:dyDescent="0.25">
      <c r="A27" s="18"/>
      <c r="B27" s="95"/>
      <c r="C27" s="41"/>
      <c r="D27" s="41"/>
      <c r="E27" s="49"/>
      <c r="F27" s="50"/>
      <c r="G27" s="50"/>
    </row>
    <row r="28" spans="1:9" ht="15.75" customHeight="1" x14ac:dyDescent="0.25">
      <c r="A28" s="295" t="s">
        <v>39</v>
      </c>
      <c r="B28" s="295"/>
      <c r="C28" s="295"/>
      <c r="D28" s="295"/>
      <c r="E28" s="295"/>
      <c r="F28" s="295"/>
      <c r="G28" s="16">
        <f>SUM(G26)</f>
        <v>9.2609999999999992</v>
      </c>
    </row>
    <row r="29" spans="1:9" ht="15.75" customHeight="1" x14ac:dyDescent="0.25">
      <c r="A29" s="295" t="s">
        <v>339</v>
      </c>
      <c r="B29" s="295"/>
      <c r="C29" s="295"/>
      <c r="D29" s="295"/>
      <c r="E29" s="295"/>
      <c r="F29" s="295"/>
      <c r="G29" s="16">
        <f>SUM(G27:G27)</f>
        <v>0</v>
      </c>
    </row>
    <row r="30" spans="1:9" ht="15.75" customHeight="1" x14ac:dyDescent="0.25">
      <c r="A30" s="295" t="s">
        <v>41</v>
      </c>
      <c r="B30" s="295"/>
      <c r="C30" s="295"/>
      <c r="D30" s="295"/>
      <c r="E30" s="295"/>
      <c r="F30" s="44">
        <f>E9</f>
        <v>0.86599999999999999</v>
      </c>
      <c r="G30" s="16">
        <f>(F30)*G28</f>
        <v>8.0200259999999997</v>
      </c>
    </row>
    <row r="31" spans="1:9" ht="15.75" customHeight="1" x14ac:dyDescent="0.25">
      <c r="A31" s="295" t="s">
        <v>42</v>
      </c>
      <c r="B31" s="295"/>
      <c r="C31" s="295"/>
      <c r="D31" s="295"/>
      <c r="E31" s="295"/>
      <c r="F31" s="44">
        <f>G10</f>
        <v>0.28349999999999997</v>
      </c>
      <c r="G31" s="16">
        <f>G32*F31</f>
        <v>4.899170870999999</v>
      </c>
      <c r="H31" s="17">
        <v>22.108000000000001</v>
      </c>
    </row>
    <row r="32" spans="1:9" ht="15.75" customHeight="1" x14ac:dyDescent="0.25">
      <c r="A32" s="295" t="s">
        <v>43</v>
      </c>
      <c r="B32" s="295"/>
      <c r="C32" s="295"/>
      <c r="D32" s="295"/>
      <c r="E32" s="295"/>
      <c r="F32" s="295"/>
      <c r="G32" s="16">
        <f>SUM(G28:G30)</f>
        <v>17.281025999999997</v>
      </c>
    </row>
    <row r="33" spans="1:9" ht="15.75" customHeight="1" x14ac:dyDescent="0.25">
      <c r="A33" s="295" t="s">
        <v>44</v>
      </c>
      <c r="B33" s="295"/>
      <c r="C33" s="295"/>
      <c r="D33" s="295"/>
      <c r="E33" s="295"/>
      <c r="F33" s="295"/>
      <c r="G33" s="15">
        <f>TRUNC(G31+G32,2)</f>
        <v>22.18</v>
      </c>
      <c r="H33" s="17">
        <v>19.14</v>
      </c>
      <c r="I33" s="25">
        <f>G33-H33</f>
        <v>3.0399999999999991</v>
      </c>
    </row>
    <row r="34" spans="1:9" ht="15.75" customHeight="1" x14ac:dyDescent="0.25">
      <c r="A34" s="46"/>
      <c r="B34" s="46"/>
      <c r="C34" s="46"/>
      <c r="D34" s="46"/>
      <c r="E34" s="46"/>
      <c r="F34" s="46"/>
      <c r="G34" s="47"/>
    </row>
    <row r="35" spans="1:9" ht="15.75" customHeight="1" x14ac:dyDescent="0.25">
      <c r="A35" s="46"/>
      <c r="B35" s="48" t="s">
        <v>45</v>
      </c>
      <c r="C35" s="296" t="s">
        <v>59</v>
      </c>
      <c r="D35" s="296"/>
      <c r="E35" s="296"/>
      <c r="F35" s="46"/>
      <c r="G35" s="47"/>
    </row>
    <row r="36" spans="1:9" ht="15.75" customHeight="1" x14ac:dyDescent="0.25">
      <c r="A36" s="46"/>
      <c r="B36" s="48" t="s">
        <v>46</v>
      </c>
      <c r="C36" s="297" t="s">
        <v>60</v>
      </c>
      <c r="D36" s="297"/>
      <c r="E36" s="297"/>
      <c r="F36" s="46"/>
      <c r="G36" s="47"/>
    </row>
    <row r="37" spans="1:9" ht="19.5" customHeight="1" x14ac:dyDescent="0.25">
      <c r="A37" s="33" t="s">
        <v>1</v>
      </c>
      <c r="B37" s="34" t="s">
        <v>2</v>
      </c>
      <c r="C37" s="35" t="s">
        <v>31</v>
      </c>
      <c r="D37" s="35" t="s">
        <v>3</v>
      </c>
      <c r="E37" s="36" t="s">
        <v>32</v>
      </c>
      <c r="F37" s="37" t="s">
        <v>33</v>
      </c>
      <c r="G37" s="37" t="s">
        <v>34</v>
      </c>
    </row>
    <row r="38" spans="1:9" ht="22.5" x14ac:dyDescent="0.25">
      <c r="A38" s="33" t="s">
        <v>207</v>
      </c>
      <c r="B38" s="73" t="s">
        <v>417</v>
      </c>
      <c r="C38" s="20" t="s">
        <v>50</v>
      </c>
      <c r="D38" s="20" t="s">
        <v>3</v>
      </c>
      <c r="E38" s="21" t="s">
        <v>51</v>
      </c>
      <c r="F38" s="22" t="s">
        <v>52</v>
      </c>
      <c r="G38" s="22" t="s">
        <v>49</v>
      </c>
    </row>
    <row r="39" spans="1:9" ht="18" x14ac:dyDescent="0.25">
      <c r="A39" s="18"/>
      <c r="B39" s="95" t="s">
        <v>487</v>
      </c>
      <c r="C39" s="41" t="s">
        <v>35</v>
      </c>
      <c r="D39" s="41" t="s">
        <v>12</v>
      </c>
      <c r="E39" s="49">
        <v>4</v>
      </c>
      <c r="F39" s="50">
        <v>6.5</v>
      </c>
      <c r="G39" s="50">
        <f>E39*F39</f>
        <v>26</v>
      </c>
    </row>
    <row r="40" spans="1:9" x14ac:dyDescent="0.25">
      <c r="A40" s="18"/>
      <c r="B40" s="95" t="s">
        <v>418</v>
      </c>
      <c r="C40" s="41" t="s">
        <v>35</v>
      </c>
      <c r="D40" s="41" t="s">
        <v>15</v>
      </c>
      <c r="E40" s="49">
        <v>1</v>
      </c>
      <c r="F40" s="50">
        <v>50</v>
      </c>
      <c r="G40" s="50">
        <f t="shared" ref="G40:G43" si="0">E40*F40</f>
        <v>50</v>
      </c>
    </row>
    <row r="41" spans="1:9" ht="15.75" customHeight="1" x14ac:dyDescent="0.25">
      <c r="A41" s="18"/>
      <c r="B41" s="95" t="s">
        <v>208</v>
      </c>
      <c r="C41" s="41" t="s">
        <v>35</v>
      </c>
      <c r="D41" s="41" t="s">
        <v>48</v>
      </c>
      <c r="E41" s="49">
        <v>0.11</v>
      </c>
      <c r="F41" s="50">
        <v>8.34</v>
      </c>
      <c r="G41" s="50">
        <f t="shared" si="0"/>
        <v>0.91739999999999999</v>
      </c>
    </row>
    <row r="42" spans="1:9" ht="15.75" customHeight="1" x14ac:dyDescent="0.25">
      <c r="A42" s="18"/>
      <c r="B42" s="95" t="s">
        <v>362</v>
      </c>
      <c r="C42" s="41" t="s">
        <v>37</v>
      </c>
      <c r="D42" s="41" t="s">
        <v>38</v>
      </c>
      <c r="E42" s="49">
        <v>0.5</v>
      </c>
      <c r="F42" s="50">
        <v>4.47</v>
      </c>
      <c r="G42" s="50">
        <f t="shared" si="0"/>
        <v>2.2349999999999999</v>
      </c>
    </row>
    <row r="43" spans="1:9" ht="15.75" customHeight="1" x14ac:dyDescent="0.25">
      <c r="A43" s="18"/>
      <c r="B43" s="95" t="s">
        <v>389</v>
      </c>
      <c r="C43" s="41" t="s">
        <v>37</v>
      </c>
      <c r="D43" s="41" t="s">
        <v>38</v>
      </c>
      <c r="E43" s="49">
        <v>0.5</v>
      </c>
      <c r="F43" s="50">
        <v>5.6</v>
      </c>
      <c r="G43" s="50">
        <f t="shared" si="0"/>
        <v>2.8</v>
      </c>
    </row>
    <row r="44" spans="1:9" ht="15.75" customHeight="1" x14ac:dyDescent="0.25">
      <c r="A44" s="18"/>
      <c r="B44" s="40"/>
      <c r="C44" s="41"/>
      <c r="D44" s="41"/>
      <c r="E44" s="49"/>
      <c r="F44" s="50"/>
      <c r="G44" s="50"/>
    </row>
    <row r="45" spans="1:9" ht="15.75" customHeight="1" x14ac:dyDescent="0.25">
      <c r="A45" s="295" t="s">
        <v>39</v>
      </c>
      <c r="B45" s="295"/>
      <c r="C45" s="295"/>
      <c r="D45" s="295"/>
      <c r="E45" s="295"/>
      <c r="F45" s="295"/>
      <c r="G45" s="16">
        <f>SUM(G42:G43)</f>
        <v>5.0350000000000001</v>
      </c>
    </row>
    <row r="46" spans="1:9" ht="15.75" customHeight="1" x14ac:dyDescent="0.25">
      <c r="A46" s="295" t="s">
        <v>40</v>
      </c>
      <c r="B46" s="295"/>
      <c r="C46" s="295"/>
      <c r="D46" s="295"/>
      <c r="E46" s="295"/>
      <c r="F46" s="295"/>
      <c r="G46" s="16">
        <f>SUM(G39:G41)</f>
        <v>76.917400000000001</v>
      </c>
    </row>
    <row r="47" spans="1:9" ht="15.75" customHeight="1" x14ac:dyDescent="0.25">
      <c r="A47" s="295" t="s">
        <v>41</v>
      </c>
      <c r="B47" s="295"/>
      <c r="C47" s="295"/>
      <c r="D47" s="295"/>
      <c r="E47" s="295"/>
      <c r="F47" s="44">
        <f>E9</f>
        <v>0.86599999999999999</v>
      </c>
      <c r="G47" s="16">
        <f>(F47)*G45</f>
        <v>4.3603100000000001</v>
      </c>
    </row>
    <row r="48" spans="1:9" ht="15.75" customHeight="1" x14ac:dyDescent="0.25">
      <c r="A48" s="295" t="s">
        <v>42</v>
      </c>
      <c r="B48" s="295"/>
      <c r="C48" s="295"/>
      <c r="D48" s="295"/>
      <c r="E48" s="295"/>
      <c r="F48" s="44">
        <f>G10</f>
        <v>0.28349999999999997</v>
      </c>
      <c r="G48" s="16">
        <f>G49*F48</f>
        <v>24.469653284999996</v>
      </c>
    </row>
    <row r="49" spans="1:9" ht="15.75" customHeight="1" x14ac:dyDescent="0.25">
      <c r="A49" s="295" t="s">
        <v>43</v>
      </c>
      <c r="B49" s="295"/>
      <c r="C49" s="295"/>
      <c r="D49" s="295"/>
      <c r="E49" s="295"/>
      <c r="F49" s="295"/>
      <c r="G49" s="16">
        <f>SUM(G45:G47)</f>
        <v>86.312709999999996</v>
      </c>
    </row>
    <row r="50" spans="1:9" ht="15.75" customHeight="1" x14ac:dyDescent="0.25">
      <c r="A50" s="295" t="s">
        <v>44</v>
      </c>
      <c r="B50" s="295"/>
      <c r="C50" s="295"/>
      <c r="D50" s="295"/>
      <c r="E50" s="295"/>
      <c r="F50" s="295"/>
      <c r="G50" s="15">
        <f>TRUNC(G48+G49,2)</f>
        <v>110.78</v>
      </c>
      <c r="H50" s="17">
        <v>116</v>
      </c>
      <c r="I50" s="25">
        <f>G50-H50</f>
        <v>-5.2199999999999989</v>
      </c>
    </row>
    <row r="51" spans="1:9" ht="15.75" customHeight="1" x14ac:dyDescent="0.25">
      <c r="A51" s="46"/>
      <c r="B51" s="46"/>
      <c r="C51" s="46"/>
      <c r="D51" s="46"/>
      <c r="E51" s="46"/>
      <c r="F51" s="46"/>
      <c r="G51" s="47"/>
    </row>
    <row r="52" spans="1:9" ht="15.75" customHeight="1" x14ac:dyDescent="0.25">
      <c r="A52" s="46"/>
      <c r="B52" s="48" t="s">
        <v>45</v>
      </c>
      <c r="C52" s="296" t="s">
        <v>59</v>
      </c>
      <c r="D52" s="296"/>
      <c r="E52" s="296"/>
      <c r="F52" s="46"/>
      <c r="G52" s="47"/>
    </row>
    <row r="53" spans="1:9" ht="15.75" customHeight="1" x14ac:dyDescent="0.25">
      <c r="A53" s="46"/>
      <c r="B53" s="48" t="s">
        <v>46</v>
      </c>
      <c r="C53" s="297" t="s">
        <v>60</v>
      </c>
      <c r="D53" s="297"/>
      <c r="E53" s="297"/>
      <c r="F53" s="46"/>
      <c r="G53" s="47"/>
    </row>
    <row r="54" spans="1:9" ht="18" x14ac:dyDescent="0.25">
      <c r="A54" s="33" t="s">
        <v>1</v>
      </c>
      <c r="B54" s="34" t="s">
        <v>2</v>
      </c>
      <c r="C54" s="35" t="s">
        <v>31</v>
      </c>
      <c r="D54" s="35" t="s">
        <v>3</v>
      </c>
      <c r="E54" s="36" t="s">
        <v>32</v>
      </c>
      <c r="F54" s="37" t="s">
        <v>33</v>
      </c>
      <c r="G54" s="37" t="s">
        <v>34</v>
      </c>
    </row>
    <row r="55" spans="1:9" ht="22.5" x14ac:dyDescent="0.25">
      <c r="A55" s="33" t="s">
        <v>209</v>
      </c>
      <c r="B55" s="73" t="s">
        <v>210</v>
      </c>
      <c r="C55" s="20" t="s">
        <v>50</v>
      </c>
      <c r="D55" s="20" t="s">
        <v>3</v>
      </c>
      <c r="E55" s="21" t="s">
        <v>51</v>
      </c>
      <c r="F55" s="22" t="s">
        <v>52</v>
      </c>
      <c r="G55" s="22" t="s">
        <v>49</v>
      </c>
    </row>
    <row r="56" spans="1:9" ht="18" x14ac:dyDescent="0.25">
      <c r="A56" s="18"/>
      <c r="B56" s="95" t="s">
        <v>497</v>
      </c>
      <c r="C56" s="41" t="s">
        <v>35</v>
      </c>
      <c r="D56" s="41" t="s">
        <v>12</v>
      </c>
      <c r="E56" s="49">
        <v>1.1499999999999999</v>
      </c>
      <c r="F56" s="50">
        <v>4.97</v>
      </c>
      <c r="G56" s="50">
        <f>E56*F56</f>
        <v>5.7154999999999996</v>
      </c>
    </row>
    <row r="57" spans="1:9" ht="15.75" customHeight="1" x14ac:dyDescent="0.25">
      <c r="A57" s="18"/>
      <c r="B57" s="95" t="s">
        <v>496</v>
      </c>
      <c r="C57" s="41" t="s">
        <v>35</v>
      </c>
      <c r="D57" s="41" t="s">
        <v>48</v>
      </c>
      <c r="E57" s="49">
        <v>0.15</v>
      </c>
      <c r="F57" s="50">
        <v>8.1999999999999993</v>
      </c>
      <c r="G57" s="50">
        <f t="shared" ref="G57:G60" si="1">E57*F57</f>
        <v>1.2299999999999998</v>
      </c>
    </row>
    <row r="58" spans="1:9" ht="18" x14ac:dyDescent="0.25">
      <c r="A58" s="18"/>
      <c r="B58" s="95" t="s">
        <v>419</v>
      </c>
      <c r="C58" s="41" t="s">
        <v>35</v>
      </c>
      <c r="D58" s="41" t="s">
        <v>9</v>
      </c>
      <c r="E58" s="49">
        <v>1.1000000000000001</v>
      </c>
      <c r="F58" s="50">
        <v>15.68</v>
      </c>
      <c r="G58" s="50">
        <f t="shared" si="1"/>
        <v>17.248000000000001</v>
      </c>
    </row>
    <row r="59" spans="1:9" ht="15.75" customHeight="1" x14ac:dyDescent="0.25">
      <c r="A59" s="18"/>
      <c r="B59" s="95" t="s">
        <v>362</v>
      </c>
      <c r="C59" s="41" t="s">
        <v>37</v>
      </c>
      <c r="D59" s="41" t="s">
        <v>38</v>
      </c>
      <c r="E59" s="49">
        <v>0.15</v>
      </c>
      <c r="F59" s="50">
        <v>4.47</v>
      </c>
      <c r="G59" s="50">
        <f t="shared" si="1"/>
        <v>0.67049999999999998</v>
      </c>
    </row>
    <row r="60" spans="1:9" ht="15.75" customHeight="1" x14ac:dyDescent="0.25">
      <c r="A60" s="18"/>
      <c r="B60" s="95" t="s">
        <v>389</v>
      </c>
      <c r="C60" s="41" t="s">
        <v>37</v>
      </c>
      <c r="D60" s="41" t="s">
        <v>38</v>
      </c>
      <c r="E60" s="49">
        <v>0.15</v>
      </c>
      <c r="F60" s="50">
        <v>5.6</v>
      </c>
      <c r="G60" s="50">
        <f t="shared" si="1"/>
        <v>0.84</v>
      </c>
    </row>
    <row r="61" spans="1:9" ht="15.75" customHeight="1" x14ac:dyDescent="0.25">
      <c r="A61" s="18"/>
      <c r="B61" s="40"/>
      <c r="C61" s="41"/>
      <c r="D61" s="41"/>
      <c r="E61" s="49"/>
      <c r="F61" s="50"/>
      <c r="G61" s="50"/>
    </row>
    <row r="62" spans="1:9" ht="15.75" customHeight="1" x14ac:dyDescent="0.25">
      <c r="A62" s="295" t="s">
        <v>39</v>
      </c>
      <c r="B62" s="295"/>
      <c r="C62" s="295"/>
      <c r="D62" s="295"/>
      <c r="E62" s="295"/>
      <c r="F62" s="295"/>
      <c r="G62" s="16">
        <f>SUM(G59:G60)</f>
        <v>1.5105</v>
      </c>
    </row>
    <row r="63" spans="1:9" ht="15.75" customHeight="1" x14ac:dyDescent="0.25">
      <c r="A63" s="295" t="s">
        <v>40</v>
      </c>
      <c r="B63" s="295"/>
      <c r="C63" s="295"/>
      <c r="D63" s="295"/>
      <c r="E63" s="295"/>
      <c r="F63" s="295"/>
      <c r="G63" s="16">
        <f>SUM(G56:G58)</f>
        <v>24.1935</v>
      </c>
    </row>
    <row r="64" spans="1:9" ht="15.75" customHeight="1" x14ac:dyDescent="0.25">
      <c r="A64" s="295" t="s">
        <v>41</v>
      </c>
      <c r="B64" s="295"/>
      <c r="C64" s="295"/>
      <c r="D64" s="295"/>
      <c r="E64" s="295"/>
      <c r="F64" s="44">
        <f>E9</f>
        <v>0.86599999999999999</v>
      </c>
      <c r="G64" s="16">
        <f>(F64)*G62</f>
        <v>1.308093</v>
      </c>
    </row>
    <row r="65" spans="1:9" ht="15.75" customHeight="1" x14ac:dyDescent="0.25">
      <c r="A65" s="295" t="s">
        <v>42</v>
      </c>
      <c r="B65" s="295"/>
      <c r="C65" s="295"/>
      <c r="D65" s="295"/>
      <c r="E65" s="295"/>
      <c r="F65" s="44">
        <f>G10</f>
        <v>0.28349999999999997</v>
      </c>
      <c r="G65" s="16">
        <f>G66*F65</f>
        <v>7.6579283654999992</v>
      </c>
    </row>
    <row r="66" spans="1:9" ht="15.75" customHeight="1" x14ac:dyDescent="0.25">
      <c r="A66" s="295" t="s">
        <v>43</v>
      </c>
      <c r="B66" s="295"/>
      <c r="C66" s="295"/>
      <c r="D66" s="295"/>
      <c r="E66" s="295"/>
      <c r="F66" s="295"/>
      <c r="G66" s="16">
        <f>SUM(G62:G64)</f>
        <v>27.012093</v>
      </c>
    </row>
    <row r="67" spans="1:9" ht="15.75" customHeight="1" x14ac:dyDescent="0.25">
      <c r="A67" s="295" t="s">
        <v>44</v>
      </c>
      <c r="B67" s="295"/>
      <c r="C67" s="295"/>
      <c r="D67" s="295"/>
      <c r="E67" s="295"/>
      <c r="F67" s="295"/>
      <c r="G67" s="15">
        <f>TRUNC(G65+G66,2)</f>
        <v>34.67</v>
      </c>
      <c r="H67" s="17">
        <v>36</v>
      </c>
      <c r="I67" s="25">
        <f>G67-H67</f>
        <v>-1.3299999999999983</v>
      </c>
    </row>
    <row r="68" spans="1:9" ht="15.75" customHeight="1" x14ac:dyDescent="0.25">
      <c r="A68" s="46"/>
      <c r="B68" s="46"/>
      <c r="C68" s="46"/>
      <c r="D68" s="46"/>
      <c r="E68" s="46"/>
      <c r="F68" s="46"/>
      <c r="G68" s="47"/>
    </row>
    <row r="69" spans="1:9" ht="15.75" customHeight="1" x14ac:dyDescent="0.25">
      <c r="A69" s="46"/>
      <c r="B69" s="48" t="s">
        <v>45</v>
      </c>
      <c r="C69" s="296" t="s">
        <v>59</v>
      </c>
      <c r="D69" s="296"/>
      <c r="E69" s="296"/>
      <c r="F69" s="46"/>
      <c r="G69" s="47"/>
    </row>
    <row r="70" spans="1:9" ht="15.75" customHeight="1" x14ac:dyDescent="0.25">
      <c r="A70" s="46"/>
      <c r="B70" s="48" t="s">
        <v>46</v>
      </c>
      <c r="C70" s="297" t="s">
        <v>60</v>
      </c>
      <c r="D70" s="297"/>
      <c r="E70" s="297"/>
      <c r="F70" s="46"/>
      <c r="G70" s="47"/>
    </row>
    <row r="71" spans="1:9" ht="15.75" customHeight="1" x14ac:dyDescent="0.25">
      <c r="A71" s="33" t="s">
        <v>211</v>
      </c>
      <c r="B71" s="51" t="s">
        <v>212</v>
      </c>
      <c r="C71" s="20" t="s">
        <v>50</v>
      </c>
      <c r="D71" s="20" t="s">
        <v>3</v>
      </c>
      <c r="E71" s="21" t="s">
        <v>51</v>
      </c>
      <c r="F71" s="22" t="s">
        <v>52</v>
      </c>
      <c r="G71" s="22" t="s">
        <v>49</v>
      </c>
    </row>
    <row r="72" spans="1:9" x14ac:dyDescent="0.25">
      <c r="A72" s="18"/>
      <c r="B72" s="95" t="s">
        <v>344</v>
      </c>
      <c r="C72" s="41" t="s">
        <v>37</v>
      </c>
      <c r="D72" s="41" t="s">
        <v>38</v>
      </c>
      <c r="E72" s="49">
        <v>2.6339999999999999</v>
      </c>
      <c r="F72" s="50">
        <v>4.47</v>
      </c>
      <c r="G72" s="50">
        <f t="shared" ref="G72" si="2">E72*F72</f>
        <v>11.773979999999998</v>
      </c>
    </row>
    <row r="73" spans="1:9" ht="15.75" customHeight="1" x14ac:dyDescent="0.25">
      <c r="A73" s="18"/>
      <c r="B73" s="95" t="s">
        <v>355</v>
      </c>
      <c r="C73" s="41" t="s">
        <v>37</v>
      </c>
      <c r="D73" s="41" t="s">
        <v>38</v>
      </c>
      <c r="E73" s="49">
        <v>0.3</v>
      </c>
      <c r="F73" s="50">
        <v>5.6</v>
      </c>
      <c r="G73" s="50">
        <f t="shared" ref="G73" si="3">E73*F73</f>
        <v>1.68</v>
      </c>
    </row>
    <row r="74" spans="1:9" ht="15.75" customHeight="1" x14ac:dyDescent="0.25">
      <c r="A74" s="295" t="s">
        <v>39</v>
      </c>
      <c r="B74" s="295"/>
      <c r="C74" s="295"/>
      <c r="D74" s="295"/>
      <c r="E74" s="295"/>
      <c r="F74" s="295"/>
      <c r="G74" s="16">
        <f>SUM(G72:G73)</f>
        <v>13.453979999999998</v>
      </c>
    </row>
    <row r="75" spans="1:9" ht="15.75" customHeight="1" x14ac:dyDescent="0.25">
      <c r="A75" s="295" t="s">
        <v>40</v>
      </c>
      <c r="B75" s="295"/>
      <c r="C75" s="295"/>
      <c r="D75" s="295"/>
      <c r="E75" s="295"/>
      <c r="F75" s="295"/>
      <c r="G75" s="16">
        <v>0</v>
      </c>
    </row>
    <row r="76" spans="1:9" ht="15.75" customHeight="1" x14ac:dyDescent="0.25">
      <c r="A76" s="295" t="s">
        <v>41</v>
      </c>
      <c r="B76" s="295"/>
      <c r="C76" s="295"/>
      <c r="D76" s="295"/>
      <c r="E76" s="295"/>
      <c r="F76" s="44">
        <f>E9</f>
        <v>0.86599999999999999</v>
      </c>
      <c r="G76" s="16">
        <f>(F76)*G74</f>
        <v>11.651146679999998</v>
      </c>
    </row>
    <row r="77" spans="1:9" ht="15.75" customHeight="1" x14ac:dyDescent="0.25">
      <c r="A77" s="295" t="s">
        <v>42</v>
      </c>
      <c r="B77" s="295"/>
      <c r="C77" s="295"/>
      <c r="D77" s="295"/>
      <c r="E77" s="295"/>
      <c r="F77" s="44">
        <f>G10</f>
        <v>0.28349999999999997</v>
      </c>
      <c r="G77" s="16">
        <f>SUM(G74,G75,G76)*F77</f>
        <v>7.1173034137799984</v>
      </c>
    </row>
    <row r="78" spans="1:9" ht="15.75" customHeight="1" x14ac:dyDescent="0.25">
      <c r="A78" s="295" t="s">
        <v>43</v>
      </c>
      <c r="B78" s="295"/>
      <c r="C78" s="295"/>
      <c r="D78" s="295"/>
      <c r="E78" s="295"/>
      <c r="F78" s="295"/>
      <c r="G78" s="16">
        <f>SUM(G74:G76)</f>
        <v>25.105126679999998</v>
      </c>
    </row>
    <row r="79" spans="1:9" ht="15.75" customHeight="1" x14ac:dyDescent="0.25">
      <c r="A79" s="295" t="s">
        <v>44</v>
      </c>
      <c r="B79" s="295"/>
      <c r="C79" s="295"/>
      <c r="D79" s="295"/>
      <c r="E79" s="295"/>
      <c r="F79" s="295"/>
      <c r="G79" s="15">
        <f>TRUNC(G77+G78,2)</f>
        <v>32.22</v>
      </c>
      <c r="H79" s="17">
        <v>32.11</v>
      </c>
      <c r="I79" s="25">
        <f>G79-H79</f>
        <v>0.10999999999999943</v>
      </c>
    </row>
    <row r="80" spans="1:9" ht="15.75" customHeight="1" x14ac:dyDescent="0.25">
      <c r="A80" s="46"/>
      <c r="B80" s="197"/>
      <c r="C80" s="46"/>
      <c r="D80" s="46"/>
      <c r="E80" s="46"/>
      <c r="F80" s="46"/>
      <c r="G80" s="47"/>
    </row>
    <row r="81" spans="1:7" ht="15.75" customHeight="1" x14ac:dyDescent="0.25">
      <c r="A81" s="46"/>
      <c r="B81" s="196" t="s">
        <v>45</v>
      </c>
      <c r="C81" s="296" t="s">
        <v>59</v>
      </c>
      <c r="D81" s="296"/>
      <c r="E81" s="296"/>
      <c r="F81" s="46"/>
      <c r="G81" s="47"/>
    </row>
    <row r="82" spans="1:7" ht="15.75" customHeight="1" x14ac:dyDescent="0.25">
      <c r="A82" s="46"/>
      <c r="B82" s="196" t="s">
        <v>46</v>
      </c>
      <c r="C82" s="297" t="s">
        <v>60</v>
      </c>
      <c r="D82" s="297"/>
      <c r="E82" s="297"/>
      <c r="F82" s="46"/>
      <c r="G82" s="47"/>
    </row>
    <row r="83" spans="1:7" ht="15.75" customHeight="1" x14ac:dyDescent="0.25">
      <c r="A83" s="33" t="s">
        <v>213</v>
      </c>
      <c r="B83" s="51" t="s">
        <v>214</v>
      </c>
      <c r="C83" s="20" t="s">
        <v>50</v>
      </c>
      <c r="D83" s="20" t="s">
        <v>3</v>
      </c>
      <c r="E83" s="21" t="s">
        <v>51</v>
      </c>
      <c r="F83" s="22" t="s">
        <v>52</v>
      </c>
      <c r="G83" s="22" t="s">
        <v>49</v>
      </c>
    </row>
    <row r="84" spans="1:7" ht="15.75" customHeight="1" x14ac:dyDescent="0.25">
      <c r="A84" s="18"/>
      <c r="B84" s="95" t="s">
        <v>344</v>
      </c>
      <c r="C84" s="41" t="s">
        <v>37</v>
      </c>
      <c r="D84" s="41" t="s">
        <v>38</v>
      </c>
      <c r="E84" s="49">
        <v>3.5</v>
      </c>
      <c r="F84" s="50">
        <v>4.47</v>
      </c>
      <c r="G84" s="50">
        <f t="shared" ref="G84" si="4">E84*F84</f>
        <v>15.645</v>
      </c>
    </row>
    <row r="85" spans="1:7" ht="15.75" customHeight="1" x14ac:dyDescent="0.25">
      <c r="A85" s="18"/>
      <c r="B85" s="40"/>
      <c r="C85" s="41"/>
      <c r="D85" s="41"/>
      <c r="E85" s="49"/>
      <c r="F85" s="50"/>
      <c r="G85" s="50"/>
    </row>
    <row r="86" spans="1:7" ht="15.75" customHeight="1" x14ac:dyDescent="0.25">
      <c r="A86" s="295" t="s">
        <v>39</v>
      </c>
      <c r="B86" s="295"/>
      <c r="C86" s="295"/>
      <c r="D86" s="295"/>
      <c r="E86" s="295"/>
      <c r="F86" s="295"/>
      <c r="G86" s="16">
        <f>SUM(G84:G85)</f>
        <v>15.645</v>
      </c>
    </row>
    <row r="87" spans="1:7" ht="15.75" customHeight="1" x14ac:dyDescent="0.25">
      <c r="A87" s="295" t="s">
        <v>40</v>
      </c>
      <c r="B87" s="295"/>
      <c r="C87" s="295"/>
      <c r="D87" s="295"/>
      <c r="E87" s="295"/>
      <c r="F87" s="295"/>
      <c r="G87" s="16">
        <f>G85</f>
        <v>0</v>
      </c>
    </row>
    <row r="88" spans="1:7" ht="15.75" customHeight="1" x14ac:dyDescent="0.25">
      <c r="A88" s="295" t="s">
        <v>41</v>
      </c>
      <c r="B88" s="295"/>
      <c r="C88" s="295"/>
      <c r="D88" s="295"/>
      <c r="E88" s="295"/>
      <c r="F88" s="44">
        <f>E9</f>
        <v>0.86599999999999999</v>
      </c>
      <c r="G88" s="16">
        <f>(F88)*G86</f>
        <v>13.54857</v>
      </c>
    </row>
    <row r="89" spans="1:7" ht="15.75" customHeight="1" x14ac:dyDescent="0.25">
      <c r="A89" s="295" t="s">
        <v>42</v>
      </c>
      <c r="B89" s="295"/>
      <c r="C89" s="295"/>
      <c r="D89" s="295"/>
      <c r="E89" s="295"/>
      <c r="F89" s="44">
        <f>G10</f>
        <v>0.28349999999999997</v>
      </c>
      <c r="G89" s="16">
        <f>SUM(G86,G87,G88)*F89</f>
        <v>8.2763770949999991</v>
      </c>
    </row>
    <row r="90" spans="1:7" ht="15.75" customHeight="1" x14ac:dyDescent="0.25">
      <c r="A90" s="295" t="s">
        <v>43</v>
      </c>
      <c r="B90" s="295"/>
      <c r="C90" s="295"/>
      <c r="D90" s="295"/>
      <c r="E90" s="295"/>
      <c r="F90" s="295"/>
      <c r="G90" s="16">
        <f>SUM(G86:G88)</f>
        <v>29.193570000000001</v>
      </c>
    </row>
    <row r="91" spans="1:7" ht="15.75" customHeight="1" x14ac:dyDescent="0.25">
      <c r="A91" s="295" t="s">
        <v>44</v>
      </c>
      <c r="B91" s="295"/>
      <c r="C91" s="295"/>
      <c r="D91" s="295"/>
      <c r="E91" s="295"/>
      <c r="F91" s="295"/>
      <c r="G91" s="15">
        <f>TRUNC(G89+G90,2)</f>
        <v>37.46</v>
      </c>
    </row>
    <row r="92" spans="1:7" ht="15.75" customHeight="1" x14ac:dyDescent="0.25">
      <c r="A92" s="46"/>
      <c r="B92" s="197"/>
      <c r="C92" s="46"/>
      <c r="D92" s="46"/>
      <c r="E92" s="46"/>
      <c r="F92" s="46"/>
      <c r="G92" s="47"/>
    </row>
    <row r="93" spans="1:7" ht="15.75" customHeight="1" x14ac:dyDescent="0.25">
      <c r="A93" s="46"/>
      <c r="B93" s="196" t="s">
        <v>45</v>
      </c>
      <c r="C93" s="296" t="s">
        <v>59</v>
      </c>
      <c r="D93" s="296"/>
      <c r="E93" s="296"/>
      <c r="F93" s="46"/>
      <c r="G93" s="47"/>
    </row>
    <row r="94" spans="1:7" ht="15.75" customHeight="1" x14ac:dyDescent="0.25">
      <c r="A94" s="46"/>
      <c r="B94" s="196" t="s">
        <v>46</v>
      </c>
      <c r="C94" s="297" t="s">
        <v>60</v>
      </c>
      <c r="D94" s="297"/>
      <c r="E94" s="297"/>
      <c r="F94" s="46"/>
      <c r="G94" s="47"/>
    </row>
    <row r="95" spans="1:7" ht="15.75" customHeight="1" x14ac:dyDescent="0.25">
      <c r="A95" s="46"/>
      <c r="B95" s="48"/>
      <c r="C95" s="297"/>
      <c r="D95" s="297"/>
      <c r="E95" s="297"/>
      <c r="F95" s="46"/>
      <c r="G95" s="47"/>
    </row>
    <row r="96" spans="1:7" ht="15.75" customHeight="1" x14ac:dyDescent="0.25">
      <c r="A96" s="33" t="s">
        <v>1</v>
      </c>
      <c r="B96" s="34" t="s">
        <v>2</v>
      </c>
      <c r="C96" s="35" t="s">
        <v>31</v>
      </c>
      <c r="D96" s="35" t="s">
        <v>3</v>
      </c>
      <c r="E96" s="36" t="s">
        <v>32</v>
      </c>
      <c r="F96" s="37" t="s">
        <v>33</v>
      </c>
      <c r="G96" s="37" t="s">
        <v>34</v>
      </c>
    </row>
    <row r="97" spans="1:7" ht="22.5" x14ac:dyDescent="0.25">
      <c r="A97" s="33" t="s">
        <v>215</v>
      </c>
      <c r="B97" s="73" t="s">
        <v>216</v>
      </c>
      <c r="C97" s="20" t="s">
        <v>50</v>
      </c>
      <c r="D97" s="20" t="s">
        <v>3</v>
      </c>
      <c r="E97" s="21" t="s">
        <v>51</v>
      </c>
      <c r="F97" s="22" t="s">
        <v>52</v>
      </c>
      <c r="G97" s="22" t="s">
        <v>49</v>
      </c>
    </row>
    <row r="98" spans="1:7" ht="15.75" customHeight="1" x14ac:dyDescent="0.25">
      <c r="A98" s="18"/>
      <c r="B98" s="95" t="s">
        <v>344</v>
      </c>
      <c r="C98" s="41" t="s">
        <v>37</v>
      </c>
      <c r="D98" s="41" t="s">
        <v>38</v>
      </c>
      <c r="E98" s="49">
        <v>2.5</v>
      </c>
      <c r="F98" s="50">
        <v>4.47</v>
      </c>
      <c r="G98" s="50">
        <f t="shared" ref="G98" si="5">E98*F98</f>
        <v>11.174999999999999</v>
      </c>
    </row>
    <row r="99" spans="1:7" ht="15.75" customHeight="1" x14ac:dyDescent="0.25">
      <c r="A99" s="18"/>
      <c r="B99" s="40"/>
      <c r="C99" s="41"/>
      <c r="D99" s="41"/>
      <c r="E99" s="49"/>
      <c r="F99" s="50"/>
      <c r="G99" s="50"/>
    </row>
    <row r="100" spans="1:7" ht="15.75" customHeight="1" x14ac:dyDescent="0.25">
      <c r="A100" s="295" t="s">
        <v>39</v>
      </c>
      <c r="B100" s="295"/>
      <c r="C100" s="295"/>
      <c r="D100" s="295"/>
      <c r="E100" s="295"/>
      <c r="F100" s="295"/>
      <c r="G100" s="16">
        <f>SUM(G98:G99)</f>
        <v>11.174999999999999</v>
      </c>
    </row>
    <row r="101" spans="1:7" ht="15.75" customHeight="1" x14ac:dyDescent="0.25">
      <c r="A101" s="295" t="s">
        <v>40</v>
      </c>
      <c r="B101" s="295"/>
      <c r="C101" s="295"/>
      <c r="D101" s="295"/>
      <c r="E101" s="295"/>
      <c r="F101" s="295"/>
      <c r="G101" s="16">
        <f>G99</f>
        <v>0</v>
      </c>
    </row>
    <row r="102" spans="1:7" ht="15.75" customHeight="1" x14ac:dyDescent="0.25">
      <c r="A102" s="295" t="s">
        <v>41</v>
      </c>
      <c r="B102" s="295"/>
      <c r="C102" s="295"/>
      <c r="D102" s="295"/>
      <c r="E102" s="295"/>
      <c r="F102" s="44">
        <f>E9</f>
        <v>0.86599999999999999</v>
      </c>
      <c r="G102" s="16">
        <f>(F102)*G100</f>
        <v>9.6775499999999983</v>
      </c>
    </row>
    <row r="103" spans="1:7" ht="15.75" customHeight="1" x14ac:dyDescent="0.25">
      <c r="A103" s="295" t="s">
        <v>42</v>
      </c>
      <c r="B103" s="295"/>
      <c r="C103" s="295"/>
      <c r="D103" s="295"/>
      <c r="E103" s="295"/>
      <c r="F103" s="44">
        <f>G10</f>
        <v>0.28349999999999997</v>
      </c>
      <c r="G103" s="16">
        <f>SUM(G100,G101,G102)*F103</f>
        <v>5.9116979249999986</v>
      </c>
    </row>
    <row r="104" spans="1:7" ht="15.75" customHeight="1" x14ac:dyDescent="0.25">
      <c r="A104" s="295" t="s">
        <v>43</v>
      </c>
      <c r="B104" s="295"/>
      <c r="C104" s="295"/>
      <c r="D104" s="295"/>
      <c r="E104" s="295"/>
      <c r="F104" s="295"/>
      <c r="G104" s="16">
        <f>SUM(G100:G102)</f>
        <v>20.852549999999997</v>
      </c>
    </row>
    <row r="105" spans="1:7" ht="15.75" customHeight="1" x14ac:dyDescent="0.25">
      <c r="A105" s="295" t="s">
        <v>44</v>
      </c>
      <c r="B105" s="295"/>
      <c r="C105" s="295"/>
      <c r="D105" s="295"/>
      <c r="E105" s="295"/>
      <c r="F105" s="295"/>
      <c r="G105" s="15">
        <f>TRUNC(G103+G104,2)</f>
        <v>26.76</v>
      </c>
    </row>
    <row r="106" spans="1:7" ht="15.75" customHeight="1" x14ac:dyDescent="0.25">
      <c r="A106" s="46"/>
      <c r="B106" s="46"/>
      <c r="C106" s="46"/>
      <c r="D106" s="46"/>
      <c r="E106" s="46"/>
      <c r="F106" s="46"/>
      <c r="G106" s="47"/>
    </row>
    <row r="107" spans="1:7" ht="15.75" customHeight="1" x14ac:dyDescent="0.25">
      <c r="A107" s="46"/>
      <c r="B107" s="48" t="s">
        <v>45</v>
      </c>
      <c r="C107" s="296" t="s">
        <v>59</v>
      </c>
      <c r="D107" s="296"/>
      <c r="E107" s="296"/>
      <c r="F107" s="46"/>
      <c r="G107" s="47"/>
    </row>
    <row r="108" spans="1:7" ht="21" customHeight="1" x14ac:dyDescent="0.25">
      <c r="A108" s="46"/>
      <c r="B108" s="48" t="s">
        <v>46</v>
      </c>
      <c r="C108" s="296" t="s">
        <v>60</v>
      </c>
      <c r="D108" s="296"/>
      <c r="E108" s="296"/>
      <c r="F108" s="46"/>
      <c r="G108" s="47"/>
    </row>
    <row r="109" spans="1:7" x14ac:dyDescent="0.25">
      <c r="A109" s="18"/>
      <c r="B109" s="14"/>
      <c r="C109" s="24"/>
      <c r="D109" s="24"/>
      <c r="E109" s="49"/>
      <c r="F109" s="50"/>
      <c r="G109" s="50"/>
    </row>
    <row r="110" spans="1:7" ht="18" x14ac:dyDescent="0.25">
      <c r="A110" s="33" t="s">
        <v>1</v>
      </c>
      <c r="B110" s="34" t="s">
        <v>2</v>
      </c>
      <c r="C110" s="35" t="s">
        <v>31</v>
      </c>
      <c r="D110" s="35" t="s">
        <v>3</v>
      </c>
      <c r="E110" s="36" t="s">
        <v>32</v>
      </c>
      <c r="F110" s="37" t="s">
        <v>33</v>
      </c>
      <c r="G110" s="37" t="s">
        <v>34</v>
      </c>
    </row>
    <row r="111" spans="1:7" ht="67.5" x14ac:dyDescent="0.25">
      <c r="A111" s="33" t="s">
        <v>217</v>
      </c>
      <c r="B111" s="73" t="s">
        <v>230</v>
      </c>
      <c r="C111" s="20" t="s">
        <v>50</v>
      </c>
      <c r="D111" s="20" t="s">
        <v>3</v>
      </c>
      <c r="E111" s="21" t="s">
        <v>51</v>
      </c>
      <c r="F111" s="22" t="s">
        <v>52</v>
      </c>
      <c r="G111" s="22" t="s">
        <v>49</v>
      </c>
    </row>
    <row r="112" spans="1:7" ht="27" x14ac:dyDescent="0.25">
      <c r="A112" s="18"/>
      <c r="B112" s="95" t="s">
        <v>340</v>
      </c>
      <c r="C112" s="41" t="s">
        <v>64</v>
      </c>
      <c r="D112" s="41" t="s">
        <v>38</v>
      </c>
      <c r="E112" s="49">
        <v>7.4000000000000003E-3</v>
      </c>
      <c r="F112" s="43">
        <v>387.41</v>
      </c>
      <c r="G112" s="50">
        <f>F112*E112</f>
        <v>2.8668340000000003</v>
      </c>
    </row>
    <row r="113" spans="1:9" ht="27" x14ac:dyDescent="0.25">
      <c r="A113" s="18"/>
      <c r="B113" s="95" t="s">
        <v>343</v>
      </c>
      <c r="C113" s="41" t="s">
        <v>64</v>
      </c>
      <c r="D113" s="41" t="s">
        <v>38</v>
      </c>
      <c r="E113" s="49">
        <v>1.9E-3</v>
      </c>
      <c r="F113" s="43">
        <v>196.43</v>
      </c>
      <c r="G113" s="50">
        <f>F113*E113</f>
        <v>0.37321700000000002</v>
      </c>
    </row>
    <row r="114" spans="1:9" ht="45" x14ac:dyDescent="0.25">
      <c r="A114" s="18"/>
      <c r="B114" s="95" t="s">
        <v>341</v>
      </c>
      <c r="C114" s="41" t="s">
        <v>64</v>
      </c>
      <c r="D114" s="41" t="s">
        <v>38</v>
      </c>
      <c r="E114" s="49">
        <v>7.0000000000000001E-3</v>
      </c>
      <c r="F114" s="43">
        <v>246.23</v>
      </c>
      <c r="G114" s="50">
        <f t="shared" ref="G114:G115" si="6">F114*E114</f>
        <v>1.7236099999999999</v>
      </c>
    </row>
    <row r="115" spans="1:9" ht="45" x14ac:dyDescent="0.25">
      <c r="A115" s="18"/>
      <c r="B115" s="95" t="s">
        <v>342</v>
      </c>
      <c r="C115" s="41" t="s">
        <v>64</v>
      </c>
      <c r="D115" s="41" t="s">
        <v>38</v>
      </c>
      <c r="E115" s="49">
        <v>1.38E-2</v>
      </c>
      <c r="F115" s="50">
        <v>109.9</v>
      </c>
      <c r="G115" s="50">
        <f t="shared" si="6"/>
        <v>1.5166200000000001</v>
      </c>
    </row>
    <row r="116" spans="1:9" x14ac:dyDescent="0.25">
      <c r="A116" s="18"/>
      <c r="B116" s="95" t="s">
        <v>344</v>
      </c>
      <c r="C116" s="41" t="s">
        <v>37</v>
      </c>
      <c r="D116" s="41" t="s">
        <v>38</v>
      </c>
      <c r="E116" s="49">
        <v>0.3</v>
      </c>
      <c r="F116" s="50">
        <v>4.47</v>
      </c>
      <c r="G116" s="50">
        <f>E116*F116</f>
        <v>1.341</v>
      </c>
      <c r="H116" s="17">
        <v>9.2999999999999992E-3</v>
      </c>
      <c r="I116" s="17">
        <v>0.2</v>
      </c>
    </row>
    <row r="117" spans="1:9" x14ac:dyDescent="0.25">
      <c r="A117" s="295" t="s">
        <v>39</v>
      </c>
      <c r="B117" s="295"/>
      <c r="C117" s="295"/>
      <c r="D117" s="295"/>
      <c r="E117" s="295"/>
      <c r="F117" s="295"/>
      <c r="G117" s="16">
        <f>SUM(G116)</f>
        <v>1.341</v>
      </c>
    </row>
    <row r="118" spans="1:9" x14ac:dyDescent="0.25">
      <c r="A118" s="295" t="s">
        <v>65</v>
      </c>
      <c r="B118" s="295"/>
      <c r="C118" s="295"/>
      <c r="D118" s="295"/>
      <c r="E118" s="295"/>
      <c r="F118" s="295"/>
      <c r="G118" s="16">
        <f>SUM(G112:G115)</f>
        <v>6.4802809999999997</v>
      </c>
    </row>
    <row r="119" spans="1:9" x14ac:dyDescent="0.25">
      <c r="A119" s="295" t="s">
        <v>41</v>
      </c>
      <c r="B119" s="295"/>
      <c r="C119" s="295"/>
      <c r="D119" s="295"/>
      <c r="E119" s="295"/>
      <c r="F119" s="44">
        <f>E9</f>
        <v>0.86599999999999999</v>
      </c>
      <c r="G119" s="16">
        <f>(F119)*G117</f>
        <v>1.1613059999999999</v>
      </c>
    </row>
    <row r="120" spans="1:9" x14ac:dyDescent="0.25">
      <c r="A120" s="295" t="s">
        <v>42</v>
      </c>
      <c r="B120" s="295"/>
      <c r="C120" s="295"/>
      <c r="D120" s="295"/>
      <c r="E120" s="295"/>
      <c r="F120" s="44">
        <f>G10</f>
        <v>0.28349999999999997</v>
      </c>
      <c r="G120" s="16">
        <f>G121*F120</f>
        <v>2.5465634145</v>
      </c>
    </row>
    <row r="121" spans="1:9" x14ac:dyDescent="0.25">
      <c r="A121" s="295" t="s">
        <v>43</v>
      </c>
      <c r="B121" s="295"/>
      <c r="C121" s="295"/>
      <c r="D121" s="295"/>
      <c r="E121" s="295"/>
      <c r="F121" s="295"/>
      <c r="G121" s="16">
        <f>SUM(G117:G119)</f>
        <v>8.9825870000000005</v>
      </c>
    </row>
    <row r="122" spans="1:9" x14ac:dyDescent="0.25">
      <c r="A122" s="295" t="s">
        <v>44</v>
      </c>
      <c r="B122" s="295"/>
      <c r="C122" s="295"/>
      <c r="D122" s="295"/>
      <c r="E122" s="295"/>
      <c r="F122" s="295"/>
      <c r="G122" s="15">
        <f>TRUNC(G120+G121,2)</f>
        <v>11.52</v>
      </c>
      <c r="H122" s="17">
        <v>11.53</v>
      </c>
      <c r="I122" s="25">
        <f>G122-H122</f>
        <v>-9.9999999999997868E-3</v>
      </c>
    </row>
    <row r="123" spans="1:9" x14ac:dyDescent="0.25">
      <c r="A123" s="46"/>
      <c r="B123" s="46"/>
      <c r="C123" s="46"/>
      <c r="D123" s="46"/>
      <c r="E123" s="46"/>
      <c r="F123" s="46"/>
      <c r="G123" s="47"/>
    </row>
    <row r="124" spans="1:9" x14ac:dyDescent="0.25">
      <c r="A124" s="46"/>
      <c r="B124" s="196" t="s">
        <v>45</v>
      </c>
      <c r="C124" s="296" t="s">
        <v>59</v>
      </c>
      <c r="D124" s="296"/>
      <c r="E124" s="296"/>
      <c r="F124" s="46"/>
      <c r="G124" s="47"/>
    </row>
    <row r="125" spans="1:9" x14ac:dyDescent="0.25">
      <c r="A125" s="46"/>
      <c r="B125" s="196" t="s">
        <v>46</v>
      </c>
      <c r="C125" s="296" t="s">
        <v>60</v>
      </c>
      <c r="D125" s="296"/>
      <c r="E125" s="296"/>
      <c r="F125" s="46"/>
      <c r="G125" s="47"/>
    </row>
    <row r="126" spans="1:9" x14ac:dyDescent="0.25">
      <c r="A126" s="46"/>
      <c r="B126" s="196"/>
      <c r="C126" s="194"/>
      <c r="D126" s="194"/>
      <c r="E126" s="194"/>
      <c r="F126" s="46"/>
      <c r="G126" s="47"/>
    </row>
    <row r="127" spans="1:9" ht="56.25" x14ac:dyDescent="0.25">
      <c r="A127" s="33" t="s">
        <v>218</v>
      </c>
      <c r="B127" s="73" t="s">
        <v>420</v>
      </c>
      <c r="C127" s="20" t="s">
        <v>50</v>
      </c>
      <c r="D127" s="20" t="s">
        <v>3</v>
      </c>
      <c r="E127" s="21" t="s">
        <v>51</v>
      </c>
      <c r="F127" s="22" t="s">
        <v>52</v>
      </c>
      <c r="G127" s="22" t="s">
        <v>49</v>
      </c>
    </row>
    <row r="128" spans="1:9" ht="18" x14ac:dyDescent="0.25">
      <c r="A128" s="18"/>
      <c r="B128" s="95" t="s">
        <v>345</v>
      </c>
      <c r="C128" s="41" t="s">
        <v>35</v>
      </c>
      <c r="D128" s="41" t="s">
        <v>369</v>
      </c>
      <c r="E128" s="49">
        <v>1</v>
      </c>
      <c r="F128" s="50">
        <v>6.51</v>
      </c>
      <c r="G128" s="50">
        <f>E128*F128</f>
        <v>6.51</v>
      </c>
    </row>
    <row r="129" spans="1:9" x14ac:dyDescent="0.25">
      <c r="A129" s="18"/>
      <c r="B129" s="95" t="s">
        <v>344</v>
      </c>
      <c r="C129" s="41" t="s">
        <v>37</v>
      </c>
      <c r="D129" s="41" t="s">
        <v>38</v>
      </c>
      <c r="E129" s="49">
        <v>2.15</v>
      </c>
      <c r="F129" s="50">
        <v>4.47</v>
      </c>
      <c r="G129" s="50">
        <f t="shared" ref="G129" si="7">E129*F129</f>
        <v>9.6104999999999983</v>
      </c>
    </row>
    <row r="130" spans="1:9" x14ac:dyDescent="0.25">
      <c r="A130" s="18"/>
      <c r="B130" s="40"/>
      <c r="C130" s="41"/>
      <c r="D130" s="41"/>
      <c r="E130" s="49"/>
      <c r="F130" s="50"/>
      <c r="G130" s="50"/>
    </row>
    <row r="131" spans="1:9" x14ac:dyDescent="0.25">
      <c r="A131" s="295" t="s">
        <v>39</v>
      </c>
      <c r="B131" s="295"/>
      <c r="C131" s="295"/>
      <c r="D131" s="295"/>
      <c r="E131" s="295"/>
      <c r="F131" s="295"/>
      <c r="G131" s="16">
        <f>SUM(G129:G130)</f>
        <v>9.6104999999999983</v>
      </c>
      <c r="I131" s="17">
        <v>1508.49</v>
      </c>
    </row>
    <row r="132" spans="1:9" x14ac:dyDescent="0.25">
      <c r="A132" s="295" t="s">
        <v>40</v>
      </c>
      <c r="B132" s="295"/>
      <c r="C132" s="295"/>
      <c r="D132" s="295"/>
      <c r="E132" s="295"/>
      <c r="F132" s="295"/>
      <c r="G132" s="16">
        <f>G128</f>
        <v>6.51</v>
      </c>
    </row>
    <row r="133" spans="1:9" x14ac:dyDescent="0.25">
      <c r="A133" s="295" t="s">
        <v>41</v>
      </c>
      <c r="B133" s="295"/>
      <c r="C133" s="295"/>
      <c r="D133" s="295"/>
      <c r="E133" s="295"/>
      <c r="F133" s="44">
        <f>E9</f>
        <v>0.86599999999999999</v>
      </c>
      <c r="G133" s="16">
        <f>(F133)*G131</f>
        <v>8.3226929999999992</v>
      </c>
    </row>
    <row r="134" spans="1:9" x14ac:dyDescent="0.25">
      <c r="A134" s="295" t="s">
        <v>42</v>
      </c>
      <c r="B134" s="295"/>
      <c r="C134" s="295"/>
      <c r="D134" s="295"/>
      <c r="E134" s="295"/>
      <c r="F134" s="44">
        <f>G10</f>
        <v>0.28349999999999997</v>
      </c>
      <c r="G134" s="16">
        <f>SUM(G131,G132,G133)*F134</f>
        <v>6.9296452154999999</v>
      </c>
    </row>
    <row r="135" spans="1:9" x14ac:dyDescent="0.25">
      <c r="A135" s="295" t="s">
        <v>43</v>
      </c>
      <c r="B135" s="295"/>
      <c r="C135" s="295"/>
      <c r="D135" s="295"/>
      <c r="E135" s="295"/>
      <c r="F135" s="295"/>
      <c r="G135" s="16">
        <f>SUM(G131:G133)</f>
        <v>24.443193000000001</v>
      </c>
    </row>
    <row r="136" spans="1:9" x14ac:dyDescent="0.25">
      <c r="A136" s="295" t="s">
        <v>44</v>
      </c>
      <c r="B136" s="295"/>
      <c r="C136" s="295"/>
      <c r="D136" s="295"/>
      <c r="E136" s="295"/>
      <c r="F136" s="295"/>
      <c r="G136" s="15">
        <f>TRUNC(G134+G135,2)</f>
        <v>31.37</v>
      </c>
      <c r="H136" s="17">
        <v>35.1</v>
      </c>
      <c r="I136" s="25">
        <f>G136-H136</f>
        <v>-3.7300000000000004</v>
      </c>
    </row>
    <row r="137" spans="1:9" x14ac:dyDescent="0.25">
      <c r="A137" s="46"/>
      <c r="B137" s="76"/>
      <c r="C137" s="46"/>
      <c r="D137" s="46"/>
      <c r="E137" s="46"/>
      <c r="F137" s="46"/>
      <c r="G137" s="47"/>
    </row>
    <row r="138" spans="1:9" x14ac:dyDescent="0.25">
      <c r="A138" s="46"/>
      <c r="B138" s="48" t="s">
        <v>45</v>
      </c>
      <c r="C138" s="296" t="s">
        <v>59</v>
      </c>
      <c r="D138" s="296"/>
      <c r="E138" s="296"/>
      <c r="F138" s="46"/>
      <c r="G138" s="47"/>
      <c r="H138" s="17">
        <v>33.46</v>
      </c>
    </row>
    <row r="139" spans="1:9" x14ac:dyDescent="0.25">
      <c r="A139" s="46"/>
      <c r="B139" s="48" t="s">
        <v>46</v>
      </c>
      <c r="C139" s="297" t="s">
        <v>60</v>
      </c>
      <c r="D139" s="297"/>
      <c r="E139" s="297"/>
      <c r="F139" s="46"/>
      <c r="G139" s="47"/>
    </row>
    <row r="140" spans="1:9" x14ac:dyDescent="0.25">
      <c r="A140" s="46"/>
      <c r="B140" s="196"/>
      <c r="C140" s="195"/>
      <c r="D140" s="195"/>
      <c r="E140" s="195"/>
      <c r="F140" s="46"/>
      <c r="G140" s="47"/>
    </row>
    <row r="141" spans="1:9" ht="22.5" x14ac:dyDescent="0.25">
      <c r="A141" s="33" t="s">
        <v>219</v>
      </c>
      <c r="B141" s="73" t="s">
        <v>422</v>
      </c>
      <c r="C141" s="20" t="s">
        <v>50</v>
      </c>
      <c r="D141" s="20" t="s">
        <v>3</v>
      </c>
      <c r="E141" s="21" t="s">
        <v>51</v>
      </c>
      <c r="F141" s="22" t="s">
        <v>52</v>
      </c>
      <c r="G141" s="22" t="s">
        <v>49</v>
      </c>
    </row>
    <row r="142" spans="1:9" ht="36" x14ac:dyDescent="0.25">
      <c r="A142" s="18"/>
      <c r="B142" s="95" t="s">
        <v>421</v>
      </c>
      <c r="C142" s="41" t="s">
        <v>64</v>
      </c>
      <c r="D142" s="41" t="s">
        <v>38</v>
      </c>
      <c r="E142" s="49">
        <v>0.18</v>
      </c>
      <c r="F142" s="50">
        <v>5.9</v>
      </c>
      <c r="G142" s="50">
        <f>E142*F142</f>
        <v>1.0620000000000001</v>
      </c>
    </row>
    <row r="143" spans="1:9" x14ac:dyDescent="0.25">
      <c r="A143" s="18"/>
      <c r="B143" s="95" t="s">
        <v>344</v>
      </c>
      <c r="C143" s="41" t="s">
        <v>37</v>
      </c>
      <c r="D143" s="41" t="s">
        <v>38</v>
      </c>
      <c r="E143" s="49">
        <v>0.18</v>
      </c>
      <c r="F143" s="50">
        <v>4.47</v>
      </c>
      <c r="G143" s="50">
        <f>E143*F143</f>
        <v>0.80459999999999987</v>
      </c>
      <c r="H143" s="273"/>
    </row>
    <row r="144" spans="1:9" x14ac:dyDescent="0.25">
      <c r="A144" s="18"/>
      <c r="B144" s="40"/>
      <c r="C144" s="41"/>
      <c r="D144" s="41"/>
      <c r="E144" s="49"/>
      <c r="F144" s="50"/>
      <c r="G144" s="50"/>
      <c r="I144" s="17">
        <v>8.1999999999999993</v>
      </c>
    </row>
    <row r="145" spans="1:9" x14ac:dyDescent="0.25">
      <c r="A145" s="295" t="s">
        <v>39</v>
      </c>
      <c r="B145" s="295"/>
      <c r="C145" s="295"/>
      <c r="D145" s="295"/>
      <c r="E145" s="295"/>
      <c r="F145" s="295"/>
      <c r="G145" s="16">
        <f>SUM(G143:G144)</f>
        <v>0.80459999999999987</v>
      </c>
    </row>
    <row r="146" spans="1:9" x14ac:dyDescent="0.25">
      <c r="A146" s="295" t="s">
        <v>65</v>
      </c>
      <c r="B146" s="295"/>
      <c r="C146" s="295"/>
      <c r="D146" s="295"/>
      <c r="E146" s="295"/>
      <c r="F146" s="295"/>
      <c r="G146" s="16">
        <f>G142</f>
        <v>1.0620000000000001</v>
      </c>
    </row>
    <row r="147" spans="1:9" x14ac:dyDescent="0.25">
      <c r="A147" s="295" t="s">
        <v>41</v>
      </c>
      <c r="B147" s="295"/>
      <c r="C147" s="295"/>
      <c r="D147" s="295"/>
      <c r="E147" s="295"/>
      <c r="F147" s="44">
        <f>E9</f>
        <v>0.86599999999999999</v>
      </c>
      <c r="G147" s="16">
        <f>(F147)*G145</f>
        <v>0.69678359999999984</v>
      </c>
    </row>
    <row r="148" spans="1:9" x14ac:dyDescent="0.25">
      <c r="A148" s="295" t="s">
        <v>42</v>
      </c>
      <c r="B148" s="295"/>
      <c r="C148" s="295"/>
      <c r="D148" s="295"/>
      <c r="E148" s="295"/>
      <c r="F148" s="44">
        <f>G10</f>
        <v>0.28349999999999997</v>
      </c>
      <c r="G148" s="16">
        <f>SUM(G145,G146,G147)*F148</f>
        <v>0.72671925059999987</v>
      </c>
    </row>
    <row r="149" spans="1:9" x14ac:dyDescent="0.25">
      <c r="A149" s="295" t="s">
        <v>43</v>
      </c>
      <c r="B149" s="295"/>
      <c r="C149" s="295"/>
      <c r="D149" s="295"/>
      <c r="E149" s="295"/>
      <c r="F149" s="295"/>
      <c r="G149" s="16">
        <f>SUM(G145:G147)</f>
        <v>2.5633835999999999</v>
      </c>
    </row>
    <row r="150" spans="1:9" x14ac:dyDescent="0.25">
      <c r="A150" s="295" t="s">
        <v>44</v>
      </c>
      <c r="B150" s="295"/>
      <c r="C150" s="295"/>
      <c r="D150" s="295"/>
      <c r="E150" s="295"/>
      <c r="F150" s="295"/>
      <c r="G150" s="15">
        <f>TRUNC(G148+G149,2)</f>
        <v>3.29</v>
      </c>
      <c r="H150" s="17">
        <v>3.3</v>
      </c>
      <c r="I150" s="25">
        <f>G150-H150</f>
        <v>-9.9999999999997868E-3</v>
      </c>
    </row>
    <row r="151" spans="1:9" x14ac:dyDescent="0.25">
      <c r="A151" s="46"/>
      <c r="B151" s="76"/>
      <c r="C151" s="46"/>
      <c r="D151" s="46"/>
      <c r="E151" s="46"/>
      <c r="F151" s="46"/>
      <c r="G151" s="47"/>
    </row>
    <row r="152" spans="1:9" x14ac:dyDescent="0.25">
      <c r="A152" s="46"/>
      <c r="B152" s="48" t="s">
        <v>45</v>
      </c>
      <c r="C152" s="296" t="s">
        <v>59</v>
      </c>
      <c r="D152" s="296"/>
      <c r="E152" s="296"/>
      <c r="F152" s="46"/>
      <c r="G152" s="47"/>
    </row>
    <row r="153" spans="1:9" x14ac:dyDescent="0.25">
      <c r="A153" s="46"/>
      <c r="B153" s="48" t="s">
        <v>46</v>
      </c>
      <c r="C153" s="297" t="s">
        <v>60</v>
      </c>
      <c r="D153" s="297"/>
      <c r="E153" s="297"/>
      <c r="F153" s="46"/>
      <c r="G153" s="47"/>
    </row>
    <row r="154" spans="1:9" x14ac:dyDescent="0.25">
      <c r="A154" s="46"/>
      <c r="B154" s="196"/>
      <c r="C154" s="195"/>
      <c r="D154" s="195"/>
      <c r="E154" s="195"/>
      <c r="F154" s="46"/>
      <c r="G154" s="47"/>
    </row>
    <row r="155" spans="1:9" ht="42.75" customHeight="1" x14ac:dyDescent="0.25">
      <c r="A155" s="33" t="s">
        <v>220</v>
      </c>
      <c r="B155" s="19" t="s">
        <v>232</v>
      </c>
      <c r="C155" s="20" t="s">
        <v>50</v>
      </c>
      <c r="D155" s="20" t="s">
        <v>36</v>
      </c>
      <c r="E155" s="21" t="s">
        <v>51</v>
      </c>
      <c r="F155" s="22" t="s">
        <v>52</v>
      </c>
      <c r="G155" s="22" t="s">
        <v>49</v>
      </c>
    </row>
    <row r="156" spans="1:9" x14ac:dyDescent="0.25">
      <c r="A156" s="18"/>
      <c r="B156" s="111" t="s">
        <v>390</v>
      </c>
      <c r="C156" s="41" t="s">
        <v>37</v>
      </c>
      <c r="D156" s="41" t="s">
        <v>38</v>
      </c>
      <c r="E156" s="100">
        <v>0.6</v>
      </c>
      <c r="F156" s="101">
        <v>5.6</v>
      </c>
      <c r="G156" s="99">
        <f>F156*E156</f>
        <v>3.36</v>
      </c>
    </row>
    <row r="157" spans="1:9" x14ac:dyDescent="0.25">
      <c r="A157" s="18"/>
      <c r="B157" s="95" t="s">
        <v>391</v>
      </c>
      <c r="C157" s="103" t="s">
        <v>37</v>
      </c>
      <c r="D157" s="41" t="s">
        <v>38</v>
      </c>
      <c r="E157" s="100">
        <v>0.6</v>
      </c>
      <c r="F157" s="41">
        <v>4.47</v>
      </c>
      <c r="G157" s="99">
        <f t="shared" ref="G157:G159" si="8">F157*E157</f>
        <v>2.6819999999999999</v>
      </c>
    </row>
    <row r="158" spans="1:9" ht="18.75" customHeight="1" x14ac:dyDescent="0.25">
      <c r="A158" s="18"/>
      <c r="B158" s="95" t="s">
        <v>58</v>
      </c>
      <c r="C158" s="41" t="s">
        <v>35</v>
      </c>
      <c r="D158" s="41" t="s">
        <v>18</v>
      </c>
      <c r="E158" s="100">
        <v>1.7999999999999999E-2</v>
      </c>
      <c r="F158" s="101">
        <f>G175</f>
        <v>321.03859999999997</v>
      </c>
      <c r="G158" s="99">
        <f t="shared" si="8"/>
        <v>5.7786947999999994</v>
      </c>
    </row>
    <row r="159" spans="1:9" ht="18" x14ac:dyDescent="0.25">
      <c r="A159" s="18"/>
      <c r="B159" s="95" t="s">
        <v>423</v>
      </c>
      <c r="C159" s="41" t="s">
        <v>35</v>
      </c>
      <c r="D159" s="41" t="s">
        <v>3</v>
      </c>
      <c r="E159" s="104">
        <v>15</v>
      </c>
      <c r="F159" s="101">
        <v>1.2</v>
      </c>
      <c r="G159" s="99">
        <f t="shared" si="8"/>
        <v>18</v>
      </c>
    </row>
    <row r="160" spans="1:9" x14ac:dyDescent="0.25">
      <c r="A160" s="18"/>
      <c r="B160" s="40"/>
      <c r="C160" s="23"/>
      <c r="D160" s="41"/>
      <c r="E160" s="52"/>
      <c r="F160" s="41"/>
      <c r="G160" s="52"/>
      <c r="I160" s="17">
        <v>165.58</v>
      </c>
    </row>
    <row r="161" spans="1:9" x14ac:dyDescent="0.25">
      <c r="A161" s="300" t="s">
        <v>39</v>
      </c>
      <c r="B161" s="300"/>
      <c r="C161" s="300"/>
      <c r="D161" s="300"/>
      <c r="E161" s="300"/>
      <c r="F161" s="300"/>
      <c r="G161" s="102">
        <f>SUM(G156:G157)</f>
        <v>6.0419999999999998</v>
      </c>
    </row>
    <row r="162" spans="1:9" x14ac:dyDescent="0.25">
      <c r="A162" s="300" t="s">
        <v>40</v>
      </c>
      <c r="B162" s="300"/>
      <c r="C162" s="300"/>
      <c r="D162" s="300"/>
      <c r="E162" s="300"/>
      <c r="F162" s="300"/>
      <c r="G162" s="102">
        <f>SUM(G158:G159)</f>
        <v>23.7786948</v>
      </c>
    </row>
    <row r="163" spans="1:9" x14ac:dyDescent="0.25">
      <c r="A163" s="300" t="s">
        <v>41</v>
      </c>
      <c r="B163" s="300"/>
      <c r="C163" s="300"/>
      <c r="D163" s="300"/>
      <c r="E163" s="300"/>
      <c r="F163" s="53">
        <f>E9</f>
        <v>0.86599999999999999</v>
      </c>
      <c r="G163" s="102">
        <f>(F163)*G161</f>
        <v>5.2323719999999998</v>
      </c>
      <c r="H163" s="17">
        <v>33.51</v>
      </c>
    </row>
    <row r="164" spans="1:9" x14ac:dyDescent="0.25">
      <c r="A164" s="300" t="s">
        <v>42</v>
      </c>
      <c r="B164" s="300"/>
      <c r="C164" s="300"/>
      <c r="D164" s="300"/>
      <c r="E164" s="300"/>
      <c r="F164" s="53">
        <f>G10</f>
        <v>0.28349999999999997</v>
      </c>
      <c r="G164" s="102">
        <f>TRUNC(SUM(G161:G163)*F164,2)</f>
        <v>9.93</v>
      </c>
    </row>
    <row r="165" spans="1:9" x14ac:dyDescent="0.25">
      <c r="A165" s="300" t="s">
        <v>43</v>
      </c>
      <c r="B165" s="300"/>
      <c r="C165" s="300"/>
      <c r="D165" s="300"/>
      <c r="E165" s="300"/>
      <c r="F165" s="300"/>
      <c r="G165" s="90">
        <f>SUM(G161:G163)</f>
        <v>35.053066799999996</v>
      </c>
    </row>
    <row r="166" spans="1:9" x14ac:dyDescent="0.25">
      <c r="A166" s="300" t="s">
        <v>44</v>
      </c>
      <c r="B166" s="300"/>
      <c r="C166" s="300"/>
      <c r="D166" s="300"/>
      <c r="E166" s="300"/>
      <c r="F166" s="300"/>
      <c r="G166" s="91">
        <f>TRUNC(G164+G165,2)</f>
        <v>44.98</v>
      </c>
      <c r="H166" s="17">
        <v>46.11</v>
      </c>
      <c r="I166" s="25">
        <f>G166-H166</f>
        <v>-1.1300000000000026</v>
      </c>
    </row>
    <row r="168" spans="1:9" ht="27" x14ac:dyDescent="0.25">
      <c r="A168" s="38">
        <v>87367</v>
      </c>
      <c r="B168" s="39" t="s">
        <v>489</v>
      </c>
      <c r="C168" s="20" t="s">
        <v>50</v>
      </c>
      <c r="D168" s="35" t="s">
        <v>36</v>
      </c>
      <c r="E168" s="21" t="s">
        <v>51</v>
      </c>
      <c r="F168" s="22" t="s">
        <v>52</v>
      </c>
      <c r="G168" s="22" t="s">
        <v>49</v>
      </c>
    </row>
    <row r="169" spans="1:9" ht="18" x14ac:dyDescent="0.25">
      <c r="A169" s="18"/>
      <c r="B169" s="80" t="s">
        <v>456</v>
      </c>
      <c r="C169" s="41" t="s">
        <v>35</v>
      </c>
      <c r="D169" s="41" t="s">
        <v>18</v>
      </c>
      <c r="E169" s="81">
        <v>1.2</v>
      </c>
      <c r="F169" s="82">
        <v>45</v>
      </c>
      <c r="G169" s="82">
        <f>E169*F169</f>
        <v>54</v>
      </c>
    </row>
    <row r="170" spans="1:9" x14ac:dyDescent="0.25">
      <c r="A170" s="18"/>
      <c r="B170" s="80" t="s">
        <v>490</v>
      </c>
      <c r="C170" s="41" t="s">
        <v>35</v>
      </c>
      <c r="D170" s="41" t="s">
        <v>491</v>
      </c>
      <c r="E170" s="82">
        <v>129.26</v>
      </c>
      <c r="F170" s="82">
        <v>0.56000000000000005</v>
      </c>
      <c r="G170" s="82">
        <f>E170*F170</f>
        <v>72.385599999999997</v>
      </c>
    </row>
    <row r="171" spans="1:9" x14ac:dyDescent="0.25">
      <c r="A171" s="18"/>
      <c r="B171" s="80" t="s">
        <v>353</v>
      </c>
      <c r="C171" s="41" t="s">
        <v>35</v>
      </c>
      <c r="D171" s="41" t="s">
        <v>48</v>
      </c>
      <c r="E171" s="82">
        <v>247.75</v>
      </c>
      <c r="F171" s="82">
        <v>0.57999999999999996</v>
      </c>
      <c r="G171" s="82">
        <f t="shared" ref="G171" si="9">E171*F171</f>
        <v>143.69499999999999</v>
      </c>
    </row>
    <row r="172" spans="1:9" x14ac:dyDescent="0.25">
      <c r="A172" s="18"/>
      <c r="B172" s="95" t="s">
        <v>344</v>
      </c>
      <c r="C172" s="41" t="s">
        <v>37</v>
      </c>
      <c r="D172" s="41" t="s">
        <v>38</v>
      </c>
      <c r="E172" s="233">
        <v>11.4</v>
      </c>
      <c r="F172" s="82">
        <v>4.47</v>
      </c>
      <c r="G172" s="82">
        <f>E172*F172</f>
        <v>50.957999999999998</v>
      </c>
    </row>
    <row r="173" spans="1:9" x14ac:dyDescent="0.25">
      <c r="A173" s="295" t="s">
        <v>39</v>
      </c>
      <c r="B173" s="295"/>
      <c r="C173" s="295"/>
      <c r="D173" s="295"/>
      <c r="E173" s="295"/>
      <c r="F173" s="295"/>
      <c r="G173" s="16">
        <f>SUM(G172:G172)</f>
        <v>50.957999999999998</v>
      </c>
    </row>
    <row r="174" spans="1:9" x14ac:dyDescent="0.25">
      <c r="A174" s="295" t="s">
        <v>40</v>
      </c>
      <c r="B174" s="295"/>
      <c r="C174" s="295"/>
      <c r="D174" s="295"/>
      <c r="E174" s="295"/>
      <c r="F174" s="295"/>
      <c r="G174" s="16">
        <f>SUM(G169:G171)</f>
        <v>270.0806</v>
      </c>
    </row>
    <row r="175" spans="1:9" x14ac:dyDescent="0.25">
      <c r="A175" s="295" t="s">
        <v>364</v>
      </c>
      <c r="B175" s="295"/>
      <c r="C175" s="295"/>
      <c r="D175" s="295"/>
      <c r="E175" s="295"/>
      <c r="F175" s="295"/>
      <c r="G175" s="15">
        <f>SUM(G173:G174)</f>
        <v>321.03859999999997</v>
      </c>
    </row>
    <row r="178" spans="1:7" x14ac:dyDescent="0.25">
      <c r="B178" s="196" t="s">
        <v>45</v>
      </c>
      <c r="C178" s="296" t="s">
        <v>59</v>
      </c>
      <c r="D178" s="296"/>
      <c r="E178" s="296"/>
    </row>
    <row r="179" spans="1:7" x14ac:dyDescent="0.25">
      <c r="B179" s="196" t="s">
        <v>46</v>
      </c>
      <c r="C179" s="297" t="s">
        <v>60</v>
      </c>
      <c r="D179" s="297"/>
      <c r="E179" s="297"/>
    </row>
    <row r="180" spans="1:7" x14ac:dyDescent="0.25">
      <c r="A180" s="18"/>
      <c r="B180" s="95"/>
      <c r="C180" s="41"/>
      <c r="D180" s="41"/>
      <c r="E180" s="49"/>
      <c r="F180" s="43"/>
      <c r="G180" s="50"/>
    </row>
    <row r="181" spans="1:7" ht="27" x14ac:dyDescent="0.25">
      <c r="A181" s="33" t="s">
        <v>221</v>
      </c>
      <c r="B181" s="19" t="s">
        <v>222</v>
      </c>
      <c r="C181" s="20" t="s">
        <v>50</v>
      </c>
      <c r="D181" s="20" t="s">
        <v>36</v>
      </c>
      <c r="E181" s="21" t="s">
        <v>51</v>
      </c>
      <c r="F181" s="22" t="s">
        <v>52</v>
      </c>
      <c r="G181" s="22" t="s">
        <v>49</v>
      </c>
    </row>
    <row r="182" spans="1:7" x14ac:dyDescent="0.25">
      <c r="A182" s="18"/>
      <c r="B182" s="111" t="s">
        <v>390</v>
      </c>
      <c r="C182" s="41" t="s">
        <v>37</v>
      </c>
      <c r="D182" s="41" t="s">
        <v>38</v>
      </c>
      <c r="E182" s="100">
        <v>0.13</v>
      </c>
      <c r="F182" s="101">
        <v>5.6</v>
      </c>
      <c r="G182" s="99">
        <f>F182*E182</f>
        <v>0.72799999999999998</v>
      </c>
    </row>
    <row r="183" spans="1:7" x14ac:dyDescent="0.25">
      <c r="A183" s="18"/>
      <c r="B183" s="95" t="s">
        <v>391</v>
      </c>
      <c r="C183" s="103" t="s">
        <v>37</v>
      </c>
      <c r="D183" s="41" t="s">
        <v>38</v>
      </c>
      <c r="E183" s="100">
        <v>0.13</v>
      </c>
      <c r="F183" s="41">
        <v>4.47</v>
      </c>
      <c r="G183" s="99">
        <f t="shared" ref="G183:G186" si="10">F183*E183</f>
        <v>0.58109999999999995</v>
      </c>
    </row>
    <row r="184" spans="1:7" ht="39" customHeight="1" x14ac:dyDescent="0.25">
      <c r="A184" s="18"/>
      <c r="B184" s="95" t="s">
        <v>495</v>
      </c>
      <c r="C184" s="41" t="s">
        <v>35</v>
      </c>
      <c r="D184" s="41" t="s">
        <v>18</v>
      </c>
      <c r="E184" s="100">
        <v>2E-3</v>
      </c>
      <c r="F184" s="101">
        <v>319.8</v>
      </c>
      <c r="G184" s="99">
        <f t="shared" si="10"/>
        <v>0.63960000000000006</v>
      </c>
    </row>
    <row r="185" spans="1:7" ht="18" x14ac:dyDescent="0.25">
      <c r="A185" s="18"/>
      <c r="B185" s="95" t="s">
        <v>494</v>
      </c>
      <c r="C185" s="41" t="s">
        <v>35</v>
      </c>
      <c r="D185" s="41" t="s">
        <v>48</v>
      </c>
      <c r="E185" s="104">
        <v>1.02</v>
      </c>
      <c r="F185" s="101">
        <v>4.9000000000000004</v>
      </c>
      <c r="G185" s="99">
        <f t="shared" ref="G185" si="11">F185*E185</f>
        <v>4.9980000000000002</v>
      </c>
    </row>
    <row r="186" spans="1:7" ht="18" x14ac:dyDescent="0.25">
      <c r="A186" s="18"/>
      <c r="B186" s="95" t="s">
        <v>492</v>
      </c>
      <c r="C186" s="41" t="s">
        <v>35</v>
      </c>
      <c r="D186" s="41" t="s">
        <v>3</v>
      </c>
      <c r="E186" s="104">
        <v>2.56</v>
      </c>
      <c r="F186" s="101">
        <v>2.57</v>
      </c>
      <c r="G186" s="99">
        <f t="shared" si="10"/>
        <v>6.5792000000000002</v>
      </c>
    </row>
    <row r="187" spans="1:7" ht="27" customHeight="1" x14ac:dyDescent="0.25">
      <c r="A187" s="18"/>
      <c r="B187" s="95" t="s">
        <v>493</v>
      </c>
      <c r="C187" s="41" t="s">
        <v>35</v>
      </c>
      <c r="D187" s="41" t="s">
        <v>3</v>
      </c>
      <c r="E187" s="104">
        <v>2.0799999999999999E-2</v>
      </c>
      <c r="F187" s="101">
        <v>235.8</v>
      </c>
      <c r="G187" s="99">
        <f t="shared" ref="G187" si="12">F187*E187</f>
        <v>4.9046399999999997</v>
      </c>
    </row>
    <row r="188" spans="1:7" x14ac:dyDescent="0.25">
      <c r="A188" s="300" t="s">
        <v>39</v>
      </c>
      <c r="B188" s="300"/>
      <c r="C188" s="300"/>
      <c r="D188" s="300"/>
      <c r="E188" s="300"/>
      <c r="F188" s="300"/>
      <c r="G188" s="102">
        <f>SUM(G182:G183)</f>
        <v>1.3090999999999999</v>
      </c>
    </row>
    <row r="189" spans="1:7" x14ac:dyDescent="0.25">
      <c r="A189" s="300" t="s">
        <v>40</v>
      </c>
      <c r="B189" s="300"/>
      <c r="C189" s="300"/>
      <c r="D189" s="300"/>
      <c r="E189" s="300"/>
      <c r="F189" s="300"/>
      <c r="G189" s="102">
        <f>SUM(G184:G187)</f>
        <v>17.12144</v>
      </c>
    </row>
    <row r="190" spans="1:7" x14ac:dyDescent="0.25">
      <c r="A190" s="300" t="s">
        <v>41</v>
      </c>
      <c r="B190" s="300"/>
      <c r="C190" s="300"/>
      <c r="D190" s="300"/>
      <c r="E190" s="300"/>
      <c r="F190" s="53">
        <f>E9</f>
        <v>0.86599999999999999</v>
      </c>
      <c r="G190" s="102">
        <f>(F190)*G188</f>
        <v>1.1336805999999999</v>
      </c>
    </row>
    <row r="191" spans="1:7" x14ac:dyDescent="0.25">
      <c r="A191" s="300" t="s">
        <v>42</v>
      </c>
      <c r="B191" s="300"/>
      <c r="C191" s="300"/>
      <c r="D191" s="300"/>
      <c r="E191" s="300"/>
      <c r="F191" s="53">
        <f>G10</f>
        <v>0.28349999999999997</v>
      </c>
      <c r="G191" s="102">
        <f>TRUNC(SUM(G188:G190)*F191,2)</f>
        <v>5.54</v>
      </c>
    </row>
    <row r="192" spans="1:7" x14ac:dyDescent="0.25">
      <c r="A192" s="300" t="s">
        <v>43</v>
      </c>
      <c r="B192" s="300"/>
      <c r="C192" s="300"/>
      <c r="D192" s="300"/>
      <c r="E192" s="300"/>
      <c r="F192" s="300"/>
      <c r="G192" s="90">
        <f>SUM(G188:G190)</f>
        <v>19.564220599999999</v>
      </c>
    </row>
    <row r="193" spans="1:9" x14ac:dyDescent="0.25">
      <c r="A193" s="300" t="s">
        <v>44</v>
      </c>
      <c r="B193" s="300"/>
      <c r="C193" s="300"/>
      <c r="D193" s="300"/>
      <c r="E193" s="300"/>
      <c r="F193" s="300"/>
      <c r="G193" s="91">
        <f>TRUNC(G191+G192,2)</f>
        <v>25.1</v>
      </c>
      <c r="H193" s="17">
        <v>25.11</v>
      </c>
      <c r="I193" s="25">
        <f>G193-H193</f>
        <v>-9.9999999999980105E-3</v>
      </c>
    </row>
    <row r="195" spans="1:9" x14ac:dyDescent="0.25">
      <c r="B195" s="196" t="s">
        <v>45</v>
      </c>
      <c r="C195" s="296" t="s">
        <v>59</v>
      </c>
      <c r="D195" s="296"/>
      <c r="E195" s="296"/>
    </row>
    <row r="196" spans="1:9" x14ac:dyDescent="0.25">
      <c r="B196" s="196" t="s">
        <v>46</v>
      </c>
      <c r="C196" s="297" t="s">
        <v>60</v>
      </c>
      <c r="D196" s="297"/>
      <c r="E196" s="297"/>
    </row>
    <row r="197" spans="1:9" x14ac:dyDescent="0.25">
      <c r="A197" s="46"/>
      <c r="B197" s="196"/>
      <c r="C197" s="195"/>
      <c r="D197" s="195"/>
      <c r="E197" s="195"/>
      <c r="F197" s="46"/>
      <c r="G197" s="47"/>
    </row>
    <row r="198" spans="1:9" ht="18" x14ac:dyDescent="0.25">
      <c r="A198" s="33" t="s">
        <v>223</v>
      </c>
      <c r="B198" s="19" t="s">
        <v>224</v>
      </c>
      <c r="C198" s="20" t="s">
        <v>50</v>
      </c>
      <c r="D198" s="20" t="s">
        <v>36</v>
      </c>
      <c r="E198" s="21" t="s">
        <v>51</v>
      </c>
      <c r="F198" s="22" t="s">
        <v>52</v>
      </c>
      <c r="G198" s="22" t="s">
        <v>49</v>
      </c>
    </row>
    <row r="199" spans="1:9" x14ac:dyDescent="0.25">
      <c r="A199" s="18"/>
      <c r="B199" s="111" t="s">
        <v>390</v>
      </c>
      <c r="C199" s="41" t="s">
        <v>37</v>
      </c>
      <c r="D199" s="41" t="s">
        <v>38</v>
      </c>
      <c r="E199" s="100">
        <v>5</v>
      </c>
      <c r="F199" s="101">
        <v>5.6</v>
      </c>
      <c r="G199" s="99">
        <f>F199*E199</f>
        <v>28</v>
      </c>
    </row>
    <row r="200" spans="1:9" x14ac:dyDescent="0.25">
      <c r="A200" s="18"/>
      <c r="B200" s="95" t="s">
        <v>391</v>
      </c>
      <c r="C200" s="103" t="s">
        <v>37</v>
      </c>
      <c r="D200" s="41" t="s">
        <v>38</v>
      </c>
      <c r="E200" s="100">
        <v>5</v>
      </c>
      <c r="F200" s="41">
        <v>4.47</v>
      </c>
      <c r="G200" s="99">
        <f t="shared" ref="G200:G201" si="13">F200*E200</f>
        <v>22.349999999999998</v>
      </c>
    </row>
    <row r="201" spans="1:9" ht="27" x14ac:dyDescent="0.25">
      <c r="A201" s="18"/>
      <c r="B201" s="95" t="s">
        <v>346</v>
      </c>
      <c r="C201" s="41" t="s">
        <v>35</v>
      </c>
      <c r="D201" s="41" t="s">
        <v>18</v>
      </c>
      <c r="E201" s="100">
        <v>1.1299999999999999</v>
      </c>
      <c r="F201" s="101">
        <v>236.26400000000001</v>
      </c>
      <c r="G201" s="99">
        <f t="shared" si="13"/>
        <v>266.97832</v>
      </c>
    </row>
    <row r="202" spans="1:9" x14ac:dyDescent="0.25">
      <c r="A202" s="300" t="s">
        <v>39</v>
      </c>
      <c r="B202" s="300"/>
      <c r="C202" s="300"/>
      <c r="D202" s="300"/>
      <c r="E202" s="300"/>
      <c r="F202" s="300"/>
      <c r="G202" s="102">
        <f>SUM(G199:G200)</f>
        <v>50.349999999999994</v>
      </c>
    </row>
    <row r="203" spans="1:9" x14ac:dyDescent="0.25">
      <c r="A203" s="300" t="s">
        <v>40</v>
      </c>
      <c r="B203" s="300"/>
      <c r="C203" s="300"/>
      <c r="D203" s="300"/>
      <c r="E203" s="300"/>
      <c r="F203" s="300"/>
      <c r="G203" s="102">
        <f>SUM(G201:G201)</f>
        <v>266.97832</v>
      </c>
    </row>
    <row r="204" spans="1:9" x14ac:dyDescent="0.25">
      <c r="A204" s="300" t="s">
        <v>41</v>
      </c>
      <c r="B204" s="300"/>
      <c r="C204" s="300"/>
      <c r="D204" s="300"/>
      <c r="E204" s="300"/>
      <c r="F204" s="53">
        <f>E9</f>
        <v>0.86599999999999999</v>
      </c>
      <c r="G204" s="102">
        <f>(F204)*G202</f>
        <v>43.603099999999998</v>
      </c>
    </row>
    <row r="205" spans="1:9" x14ac:dyDescent="0.25">
      <c r="A205" s="300" t="s">
        <v>42</v>
      </c>
      <c r="B205" s="300"/>
      <c r="C205" s="300"/>
      <c r="D205" s="300"/>
      <c r="E205" s="300"/>
      <c r="F205" s="53">
        <f>G10</f>
        <v>0.28349999999999997</v>
      </c>
      <c r="G205" s="102">
        <f>TRUNC(SUM(G202:G204)*F205,2)</f>
        <v>102.32</v>
      </c>
    </row>
    <row r="206" spans="1:9" x14ac:dyDescent="0.25">
      <c r="A206" s="300" t="s">
        <v>43</v>
      </c>
      <c r="B206" s="300"/>
      <c r="C206" s="300"/>
      <c r="D206" s="300"/>
      <c r="E206" s="300"/>
      <c r="F206" s="300"/>
      <c r="G206" s="90">
        <f>SUM(G202:G204)</f>
        <v>360.93141999999995</v>
      </c>
    </row>
    <row r="207" spans="1:9" x14ac:dyDescent="0.25">
      <c r="A207" s="300" t="s">
        <v>44</v>
      </c>
      <c r="B207" s="300"/>
      <c r="C207" s="300"/>
      <c r="D207" s="300"/>
      <c r="E207" s="300"/>
      <c r="F207" s="300"/>
      <c r="G207" s="91">
        <f>TRUNC(G205+G206,2)</f>
        <v>463.25</v>
      </c>
      <c r="H207" s="17">
        <v>463.26</v>
      </c>
      <c r="I207" s="25">
        <f>G207-H207</f>
        <v>-9.9999999999909051E-3</v>
      </c>
    </row>
    <row r="209" spans="1:9" x14ac:dyDescent="0.25">
      <c r="B209" s="196" t="s">
        <v>45</v>
      </c>
      <c r="C209" s="296" t="s">
        <v>59</v>
      </c>
      <c r="D209" s="296"/>
      <c r="E209" s="296"/>
    </row>
    <row r="210" spans="1:9" x14ac:dyDescent="0.25">
      <c r="B210" s="196" t="s">
        <v>46</v>
      </c>
      <c r="C210" s="297" t="s">
        <v>60</v>
      </c>
      <c r="D210" s="297"/>
      <c r="E210" s="297"/>
    </row>
    <row r="211" spans="1:9" ht="36" x14ac:dyDescent="0.25">
      <c r="A211" s="33" t="s">
        <v>253</v>
      </c>
      <c r="B211" s="39" t="s">
        <v>250</v>
      </c>
      <c r="C211" s="20" t="s">
        <v>50</v>
      </c>
      <c r="D211" s="35" t="s">
        <v>36</v>
      </c>
      <c r="E211" s="21" t="s">
        <v>51</v>
      </c>
      <c r="F211" s="22" t="s">
        <v>52</v>
      </c>
      <c r="G211" s="22" t="s">
        <v>49</v>
      </c>
    </row>
    <row r="212" spans="1:9" ht="27" x14ac:dyDescent="0.25">
      <c r="A212" s="92"/>
      <c r="B212" s="84" t="s">
        <v>424</v>
      </c>
      <c r="C212" s="85" t="s">
        <v>35</v>
      </c>
      <c r="D212" s="85" t="s">
        <v>48</v>
      </c>
      <c r="E212" s="86">
        <v>1.05</v>
      </c>
      <c r="F212" s="87">
        <v>4.16</v>
      </c>
      <c r="G212" s="87">
        <f>E212*F212</f>
        <v>4.3680000000000003</v>
      </c>
    </row>
    <row r="213" spans="1:9" x14ac:dyDescent="0.25">
      <c r="A213" s="18"/>
      <c r="B213" s="80" t="s">
        <v>425</v>
      </c>
      <c r="C213" s="41" t="s">
        <v>35</v>
      </c>
      <c r="D213" s="41" t="s">
        <v>9</v>
      </c>
      <c r="E213" s="81">
        <v>4</v>
      </c>
      <c r="F213" s="82">
        <v>0.09</v>
      </c>
      <c r="G213" s="82">
        <f>E213*F213</f>
        <v>0.36</v>
      </c>
    </row>
    <row r="214" spans="1:9" x14ac:dyDescent="0.25">
      <c r="A214" s="89"/>
      <c r="B214" s="80" t="s">
        <v>426</v>
      </c>
      <c r="C214" s="41" t="s">
        <v>35</v>
      </c>
      <c r="D214" s="41" t="s">
        <v>48</v>
      </c>
      <c r="E214" s="81">
        <v>0.03</v>
      </c>
      <c r="F214" s="82">
        <v>8.5</v>
      </c>
      <c r="G214" s="82">
        <f>E214*F214</f>
        <v>0.255</v>
      </c>
    </row>
    <row r="215" spans="1:9" x14ac:dyDescent="0.25">
      <c r="A215" s="89"/>
      <c r="B215" s="80" t="s">
        <v>392</v>
      </c>
      <c r="C215" s="41" t="s">
        <v>37</v>
      </c>
      <c r="D215" s="41" t="s">
        <v>38</v>
      </c>
      <c r="E215" s="81">
        <v>0.1</v>
      </c>
      <c r="F215" s="82">
        <v>5.6</v>
      </c>
      <c r="G215" s="82">
        <f>E215*F215</f>
        <v>0.55999999999999994</v>
      </c>
    </row>
    <row r="216" spans="1:9" ht="18" x14ac:dyDescent="0.25">
      <c r="A216" s="89"/>
      <c r="B216" s="95" t="s">
        <v>393</v>
      </c>
      <c r="C216" s="41" t="s">
        <v>37</v>
      </c>
      <c r="D216" s="41" t="s">
        <v>38</v>
      </c>
      <c r="E216" s="81">
        <v>0.1</v>
      </c>
      <c r="F216" s="82">
        <v>4.47</v>
      </c>
      <c r="G216" s="82">
        <f>E216*F216</f>
        <v>0.44700000000000001</v>
      </c>
    </row>
    <row r="217" spans="1:9" x14ac:dyDescent="0.25">
      <c r="A217" s="18"/>
      <c r="B217" s="40"/>
      <c r="C217" s="41"/>
      <c r="D217" s="41"/>
      <c r="E217" s="42"/>
      <c r="F217" s="43"/>
      <c r="G217" s="43"/>
    </row>
    <row r="218" spans="1:9" x14ac:dyDescent="0.25">
      <c r="A218" s="295" t="s">
        <v>39</v>
      </c>
      <c r="B218" s="295"/>
      <c r="C218" s="295"/>
      <c r="D218" s="295"/>
      <c r="E218" s="295"/>
      <c r="F218" s="295"/>
      <c r="G218" s="90">
        <f>SUM(G215:G216)</f>
        <v>1.0069999999999999</v>
      </c>
    </row>
    <row r="219" spans="1:9" x14ac:dyDescent="0.25">
      <c r="A219" s="295" t="s">
        <v>40</v>
      </c>
      <c r="B219" s="295"/>
      <c r="C219" s="295"/>
      <c r="D219" s="295"/>
      <c r="E219" s="295"/>
      <c r="F219" s="295"/>
      <c r="G219" s="90">
        <f>SUM(G212:G214)</f>
        <v>4.9830000000000005</v>
      </c>
    </row>
    <row r="220" spans="1:9" x14ac:dyDescent="0.25">
      <c r="A220" s="295" t="s">
        <v>41</v>
      </c>
      <c r="B220" s="295"/>
      <c r="C220" s="295"/>
      <c r="D220" s="295"/>
      <c r="E220" s="295"/>
      <c r="F220" s="44">
        <f>E9</f>
        <v>0.86599999999999999</v>
      </c>
      <c r="G220" s="90">
        <f>(F220)*G218</f>
        <v>0.87206199999999989</v>
      </c>
    </row>
    <row r="221" spans="1:9" x14ac:dyDescent="0.25">
      <c r="A221" s="295" t="s">
        <v>42</v>
      </c>
      <c r="B221" s="295"/>
      <c r="C221" s="295"/>
      <c r="D221" s="295"/>
      <c r="E221" s="295"/>
      <c r="F221" s="44">
        <f>G10</f>
        <v>0.28349999999999997</v>
      </c>
      <c r="G221" s="90">
        <f>SUM(G218,G219,G220)*F221</f>
        <v>1.9453945769999998</v>
      </c>
    </row>
    <row r="222" spans="1:9" x14ac:dyDescent="0.25">
      <c r="A222" s="295" t="s">
        <v>43</v>
      </c>
      <c r="B222" s="295"/>
      <c r="C222" s="295"/>
      <c r="D222" s="295"/>
      <c r="E222" s="295"/>
      <c r="F222" s="295"/>
      <c r="G222" s="90">
        <f>SUM(G218:G221)</f>
        <v>8.807456577</v>
      </c>
    </row>
    <row r="223" spans="1:9" x14ac:dyDescent="0.25">
      <c r="A223" s="295" t="s">
        <v>44</v>
      </c>
      <c r="B223" s="295"/>
      <c r="C223" s="295"/>
      <c r="D223" s="295"/>
      <c r="E223" s="295"/>
      <c r="F223" s="295"/>
      <c r="G223" s="91">
        <f>TRUNC(G221+G222,2)</f>
        <v>10.75</v>
      </c>
      <c r="H223" s="17">
        <v>11.11</v>
      </c>
      <c r="I223" s="25">
        <f>G223-H223</f>
        <v>-0.35999999999999943</v>
      </c>
    </row>
    <row r="224" spans="1:9" x14ac:dyDescent="0.25">
      <c r="A224" s="46"/>
      <c r="B224" s="46"/>
      <c r="C224" s="46"/>
      <c r="D224" s="46"/>
      <c r="E224" s="46"/>
      <c r="F224" s="46"/>
      <c r="G224" s="47"/>
    </row>
    <row r="225" spans="1:9" x14ac:dyDescent="0.25">
      <c r="A225" s="46"/>
      <c r="B225" s="196" t="s">
        <v>45</v>
      </c>
      <c r="C225" s="296" t="s">
        <v>59</v>
      </c>
      <c r="D225" s="296"/>
      <c r="E225" s="296"/>
      <c r="F225" s="46"/>
      <c r="G225" s="47"/>
    </row>
    <row r="226" spans="1:9" x14ac:dyDescent="0.25">
      <c r="A226" s="46"/>
      <c r="B226" s="196" t="s">
        <v>46</v>
      </c>
      <c r="C226" s="297" t="s">
        <v>60</v>
      </c>
      <c r="D226" s="297"/>
      <c r="E226" s="297"/>
      <c r="F226" s="46"/>
      <c r="G226" s="47"/>
    </row>
    <row r="227" spans="1:9" x14ac:dyDescent="0.25">
      <c r="A227" s="46"/>
      <c r="B227" s="46"/>
      <c r="C227" s="46"/>
      <c r="D227" s="46"/>
      <c r="E227" s="46"/>
      <c r="F227" s="46"/>
      <c r="G227" s="47"/>
    </row>
    <row r="228" spans="1:9" ht="18" x14ac:dyDescent="0.25">
      <c r="A228" s="33" t="s">
        <v>254</v>
      </c>
      <c r="B228" s="39" t="s">
        <v>234</v>
      </c>
      <c r="C228" s="20" t="s">
        <v>50</v>
      </c>
      <c r="D228" s="35" t="s">
        <v>36</v>
      </c>
      <c r="E228" s="21" t="s">
        <v>51</v>
      </c>
      <c r="F228" s="22" t="s">
        <v>52</v>
      </c>
      <c r="G228" s="22" t="s">
        <v>49</v>
      </c>
    </row>
    <row r="229" spans="1:9" x14ac:dyDescent="0.25">
      <c r="A229" s="92"/>
      <c r="B229" s="93" t="s">
        <v>427</v>
      </c>
      <c r="C229" s="85" t="s">
        <v>35</v>
      </c>
      <c r="D229" s="85" t="s">
        <v>48</v>
      </c>
      <c r="E229" s="86">
        <v>1.1000000000000001</v>
      </c>
      <c r="F229" s="87">
        <v>3.0059999999999998</v>
      </c>
      <c r="G229" s="87">
        <f>E229*F229</f>
        <v>3.3066</v>
      </c>
    </row>
    <row r="230" spans="1:9" x14ac:dyDescent="0.25">
      <c r="A230" s="89"/>
      <c r="B230" s="94" t="s">
        <v>397</v>
      </c>
      <c r="C230" s="41" t="s">
        <v>37</v>
      </c>
      <c r="D230" s="41" t="s">
        <v>38</v>
      </c>
      <c r="E230" s="81">
        <v>0.03</v>
      </c>
      <c r="F230" s="82">
        <v>5.6</v>
      </c>
      <c r="G230" s="82">
        <f>E230*F230</f>
        <v>0.16799999999999998</v>
      </c>
    </row>
    <row r="231" spans="1:9" x14ac:dyDescent="0.25">
      <c r="A231" s="89"/>
      <c r="B231" s="95" t="s">
        <v>394</v>
      </c>
      <c r="C231" s="41" t="s">
        <v>37</v>
      </c>
      <c r="D231" s="41" t="s">
        <v>38</v>
      </c>
      <c r="E231" s="81">
        <v>0.03</v>
      </c>
      <c r="F231" s="82">
        <v>4.47</v>
      </c>
      <c r="G231" s="82">
        <f>E231*F231</f>
        <v>0.1341</v>
      </c>
    </row>
    <row r="232" spans="1:9" x14ac:dyDescent="0.25">
      <c r="A232" s="18"/>
      <c r="B232" s="40"/>
      <c r="C232" s="41"/>
      <c r="D232" s="41"/>
      <c r="E232" s="42"/>
      <c r="F232" s="43"/>
      <c r="G232" s="43"/>
    </row>
    <row r="233" spans="1:9" x14ac:dyDescent="0.25">
      <c r="A233" s="295" t="s">
        <v>39</v>
      </c>
      <c r="B233" s="295"/>
      <c r="C233" s="295"/>
      <c r="D233" s="295"/>
      <c r="E233" s="295"/>
      <c r="F233" s="295"/>
      <c r="G233" s="90">
        <f>SUM(G230:G231)</f>
        <v>0.30209999999999998</v>
      </c>
    </row>
    <row r="234" spans="1:9" x14ac:dyDescent="0.25">
      <c r="A234" s="295" t="s">
        <v>40</v>
      </c>
      <c r="B234" s="295"/>
      <c r="C234" s="295"/>
      <c r="D234" s="295"/>
      <c r="E234" s="295"/>
      <c r="F234" s="295"/>
      <c r="G234" s="90">
        <f>SUM(G229:G229)</f>
        <v>3.3066</v>
      </c>
    </row>
    <row r="235" spans="1:9" x14ac:dyDescent="0.25">
      <c r="A235" s="295" t="s">
        <v>41</v>
      </c>
      <c r="B235" s="295"/>
      <c r="C235" s="295"/>
      <c r="D235" s="295"/>
      <c r="E235" s="295"/>
      <c r="F235" s="44">
        <f>E9</f>
        <v>0.86599999999999999</v>
      </c>
      <c r="G235" s="90">
        <f>(F235)*G233</f>
        <v>0.26161859999999998</v>
      </c>
    </row>
    <row r="236" spans="1:9" x14ac:dyDescent="0.25">
      <c r="A236" s="295" t="s">
        <v>42</v>
      </c>
      <c r="B236" s="295"/>
      <c r="C236" s="295"/>
      <c r="D236" s="295"/>
      <c r="E236" s="295"/>
      <c r="F236" s="44">
        <f>G10</f>
        <v>0.28349999999999997</v>
      </c>
      <c r="G236" s="90">
        <f>SUM(G233,G234,G235)*F236</f>
        <v>1.0972353230999998</v>
      </c>
    </row>
    <row r="237" spans="1:9" x14ac:dyDescent="0.25">
      <c r="A237" s="295" t="s">
        <v>43</v>
      </c>
      <c r="B237" s="295"/>
      <c r="C237" s="295"/>
      <c r="D237" s="295"/>
      <c r="E237" s="295"/>
      <c r="F237" s="295"/>
      <c r="G237" s="90">
        <f>SUM(G233:G236)</f>
        <v>4.9675539230999997</v>
      </c>
    </row>
    <row r="238" spans="1:9" x14ac:dyDescent="0.25">
      <c r="A238" s="295" t="s">
        <v>44</v>
      </c>
      <c r="B238" s="295"/>
      <c r="C238" s="295"/>
      <c r="D238" s="295"/>
      <c r="E238" s="295"/>
      <c r="F238" s="295"/>
      <c r="G238" s="91">
        <f>TRUNC(G236+G237,2)</f>
        <v>6.06</v>
      </c>
      <c r="H238" s="17">
        <v>6.07</v>
      </c>
      <c r="I238" s="25">
        <f>G238-H238</f>
        <v>-1.0000000000000675E-2</v>
      </c>
    </row>
    <row r="239" spans="1:9" x14ac:dyDescent="0.25">
      <c r="A239" s="46"/>
      <c r="B239" s="46"/>
      <c r="C239" s="46"/>
      <c r="D239" s="46"/>
      <c r="E239" s="46"/>
      <c r="F239" s="46"/>
      <c r="G239" s="47"/>
    </row>
    <row r="240" spans="1:9" x14ac:dyDescent="0.25">
      <c r="A240" s="46"/>
      <c r="B240" s="196" t="s">
        <v>45</v>
      </c>
      <c r="C240" s="296" t="s">
        <v>59</v>
      </c>
      <c r="D240" s="296"/>
      <c r="E240" s="296"/>
      <c r="F240" s="46"/>
      <c r="G240" s="47"/>
    </row>
    <row r="241" spans="1:9" x14ac:dyDescent="0.25">
      <c r="A241" s="46"/>
      <c r="B241" s="196" t="s">
        <v>46</v>
      </c>
      <c r="C241" s="297" t="s">
        <v>60</v>
      </c>
      <c r="D241" s="297"/>
      <c r="E241" s="297"/>
      <c r="F241" s="46"/>
      <c r="G241" s="47"/>
    </row>
    <row r="242" spans="1:9" x14ac:dyDescent="0.25">
      <c r="A242" s="46"/>
      <c r="B242" s="196"/>
      <c r="C242" s="195"/>
      <c r="D242" s="195"/>
      <c r="E242" s="195"/>
      <c r="F242" s="46"/>
      <c r="G242" s="47"/>
    </row>
    <row r="243" spans="1:9" ht="27" x14ac:dyDescent="0.25">
      <c r="A243" s="33" t="s">
        <v>255</v>
      </c>
      <c r="B243" s="39" t="s">
        <v>428</v>
      </c>
      <c r="C243" s="20" t="s">
        <v>50</v>
      </c>
      <c r="D243" s="35" t="s">
        <v>36</v>
      </c>
      <c r="E243" s="21" t="s">
        <v>51</v>
      </c>
      <c r="F243" s="22" t="s">
        <v>52</v>
      </c>
      <c r="G243" s="22" t="s">
        <v>49</v>
      </c>
    </row>
    <row r="244" spans="1:9" x14ac:dyDescent="0.25">
      <c r="A244" s="92"/>
      <c r="B244" s="93" t="s">
        <v>429</v>
      </c>
      <c r="C244" s="85" t="s">
        <v>35</v>
      </c>
      <c r="D244" s="85" t="s">
        <v>48</v>
      </c>
      <c r="E244" s="86">
        <v>1.1000000000000001</v>
      </c>
      <c r="F244" s="87">
        <v>3.0059999999999998</v>
      </c>
      <c r="G244" s="87">
        <f>E244*F244</f>
        <v>3.3066</v>
      </c>
    </row>
    <row r="245" spans="1:9" x14ac:dyDescent="0.25">
      <c r="A245" s="89"/>
      <c r="B245" s="94" t="s">
        <v>355</v>
      </c>
      <c r="C245" s="41" t="s">
        <v>37</v>
      </c>
      <c r="D245" s="41" t="s">
        <v>38</v>
      </c>
      <c r="E245" s="81">
        <v>0.03</v>
      </c>
      <c r="F245" s="82">
        <v>5.6</v>
      </c>
      <c r="G245" s="82">
        <f>E245*F245</f>
        <v>0.16799999999999998</v>
      </c>
    </row>
    <row r="246" spans="1:9" x14ac:dyDescent="0.25">
      <c r="A246" s="89"/>
      <c r="B246" s="95" t="s">
        <v>344</v>
      </c>
      <c r="C246" s="41" t="s">
        <v>37</v>
      </c>
      <c r="D246" s="41" t="s">
        <v>38</v>
      </c>
      <c r="E246" s="81">
        <v>0.03</v>
      </c>
      <c r="F246" s="82">
        <v>4.47</v>
      </c>
      <c r="G246" s="82">
        <f>E246*F246</f>
        <v>0.1341</v>
      </c>
    </row>
    <row r="247" spans="1:9" x14ac:dyDescent="0.25">
      <c r="A247" s="18"/>
      <c r="B247" s="40"/>
      <c r="C247" s="41"/>
      <c r="D247" s="41"/>
      <c r="E247" s="42"/>
      <c r="F247" s="43"/>
      <c r="G247" s="43"/>
    </row>
    <row r="248" spans="1:9" x14ac:dyDescent="0.25">
      <c r="A248" s="295" t="s">
        <v>39</v>
      </c>
      <c r="B248" s="295"/>
      <c r="C248" s="295"/>
      <c r="D248" s="295"/>
      <c r="E248" s="295"/>
      <c r="F248" s="295"/>
      <c r="G248" s="90">
        <f>SUM(G245:G246)</f>
        <v>0.30209999999999998</v>
      </c>
    </row>
    <row r="249" spans="1:9" x14ac:dyDescent="0.25">
      <c r="A249" s="295" t="s">
        <v>40</v>
      </c>
      <c r="B249" s="295"/>
      <c r="C249" s="295"/>
      <c r="D249" s="295"/>
      <c r="E249" s="295"/>
      <c r="F249" s="295"/>
      <c r="G249" s="90">
        <f>SUM(G244:G244)</f>
        <v>3.3066</v>
      </c>
    </row>
    <row r="250" spans="1:9" x14ac:dyDescent="0.25">
      <c r="A250" s="295" t="s">
        <v>41</v>
      </c>
      <c r="B250" s="295"/>
      <c r="C250" s="295"/>
      <c r="D250" s="295"/>
      <c r="E250" s="295"/>
      <c r="F250" s="44">
        <f>E9</f>
        <v>0.86599999999999999</v>
      </c>
      <c r="G250" s="90">
        <f>(F250)*G248</f>
        <v>0.26161859999999998</v>
      </c>
    </row>
    <row r="251" spans="1:9" x14ac:dyDescent="0.25">
      <c r="A251" s="295" t="s">
        <v>42</v>
      </c>
      <c r="B251" s="295"/>
      <c r="C251" s="295"/>
      <c r="D251" s="295"/>
      <c r="E251" s="295"/>
      <c r="F251" s="44">
        <f>G10</f>
        <v>0.28349999999999997</v>
      </c>
      <c r="G251" s="90">
        <f>SUM(G248,G249,G250)*F251</f>
        <v>1.0972353230999998</v>
      </c>
    </row>
    <row r="252" spans="1:9" x14ac:dyDescent="0.25">
      <c r="A252" s="295" t="s">
        <v>43</v>
      </c>
      <c r="B252" s="295"/>
      <c r="C252" s="295"/>
      <c r="D252" s="295"/>
      <c r="E252" s="295"/>
      <c r="F252" s="295"/>
      <c r="G252" s="90">
        <f>SUM(G248:G251)</f>
        <v>4.9675539230999997</v>
      </c>
    </row>
    <row r="253" spans="1:9" x14ac:dyDescent="0.25">
      <c r="A253" s="295" t="s">
        <v>44</v>
      </c>
      <c r="B253" s="295"/>
      <c r="C253" s="295"/>
      <c r="D253" s="295"/>
      <c r="E253" s="295"/>
      <c r="F253" s="295"/>
      <c r="G253" s="91">
        <f>TRUNC(G251+G252,2)</f>
        <v>6.06</v>
      </c>
      <c r="H253" s="17">
        <v>6.07</v>
      </c>
      <c r="I253" s="25">
        <f>G253-H253</f>
        <v>-1.0000000000000675E-2</v>
      </c>
    </row>
    <row r="254" spans="1:9" x14ac:dyDescent="0.25">
      <c r="A254" s="46"/>
      <c r="B254" s="46"/>
      <c r="C254" s="46"/>
      <c r="D254" s="46"/>
      <c r="E254" s="46"/>
      <c r="F254" s="46"/>
      <c r="G254" s="47"/>
    </row>
    <row r="255" spans="1:9" x14ac:dyDescent="0.25">
      <c r="A255" s="46"/>
      <c r="B255" s="196" t="s">
        <v>45</v>
      </c>
      <c r="C255" s="296" t="s">
        <v>59</v>
      </c>
      <c r="D255" s="296"/>
      <c r="E255" s="296"/>
      <c r="F255" s="46"/>
      <c r="G255" s="47"/>
    </row>
    <row r="256" spans="1:9" x14ac:dyDescent="0.25">
      <c r="A256" s="46"/>
      <c r="B256" s="196" t="s">
        <v>46</v>
      </c>
      <c r="C256" s="297" t="s">
        <v>60</v>
      </c>
      <c r="D256" s="297"/>
      <c r="E256" s="297"/>
      <c r="F256" s="46"/>
      <c r="G256" s="47"/>
    </row>
    <row r="257" spans="1:9" x14ac:dyDescent="0.25">
      <c r="A257" s="46"/>
      <c r="B257" s="196"/>
      <c r="C257" s="195"/>
      <c r="D257" s="195"/>
      <c r="E257" s="195"/>
      <c r="F257" s="46"/>
      <c r="G257" s="47"/>
    </row>
    <row r="258" spans="1:9" ht="18" x14ac:dyDescent="0.25">
      <c r="A258" s="33" t="s">
        <v>256</v>
      </c>
      <c r="B258" s="19" t="s">
        <v>236</v>
      </c>
      <c r="C258" s="20" t="s">
        <v>50</v>
      </c>
      <c r="D258" s="20" t="s">
        <v>53</v>
      </c>
      <c r="E258" s="21" t="s">
        <v>51</v>
      </c>
      <c r="F258" s="22" t="s">
        <v>52</v>
      </c>
      <c r="G258" s="22" t="s">
        <v>49</v>
      </c>
    </row>
    <row r="259" spans="1:9" x14ac:dyDescent="0.25">
      <c r="A259" s="83"/>
      <c r="B259" s="259" t="s">
        <v>349</v>
      </c>
      <c r="C259" s="85" t="s">
        <v>35</v>
      </c>
      <c r="D259" s="85" t="s">
        <v>48</v>
      </c>
      <c r="E259" s="86">
        <v>0.15</v>
      </c>
      <c r="F259" s="87">
        <v>0.57999999999999996</v>
      </c>
      <c r="G259" s="239">
        <f>E259*F259</f>
        <v>8.6999999999999994E-2</v>
      </c>
    </row>
    <row r="260" spans="1:9" x14ac:dyDescent="0.25">
      <c r="A260" s="88"/>
      <c r="B260" s="260" t="s">
        <v>347</v>
      </c>
      <c r="C260" s="41" t="s">
        <v>35</v>
      </c>
      <c r="D260" s="41" t="s">
        <v>48</v>
      </c>
      <c r="E260" s="81">
        <v>0.15</v>
      </c>
      <c r="F260" s="82">
        <v>0.72</v>
      </c>
      <c r="G260" s="261">
        <f>E260*F260</f>
        <v>0.108</v>
      </c>
    </row>
    <row r="261" spans="1:9" x14ac:dyDescent="0.25">
      <c r="A261" s="88"/>
      <c r="B261" s="260" t="s">
        <v>348</v>
      </c>
      <c r="C261" s="41" t="s">
        <v>35</v>
      </c>
      <c r="D261" s="41" t="s">
        <v>313</v>
      </c>
      <c r="E261" s="81">
        <v>0.1</v>
      </c>
      <c r="F261" s="82">
        <v>3.2</v>
      </c>
      <c r="G261" s="261">
        <f>E261*F261</f>
        <v>0.32000000000000006</v>
      </c>
    </row>
    <row r="262" spans="1:9" x14ac:dyDescent="0.25">
      <c r="A262" s="89"/>
      <c r="B262" s="242" t="s">
        <v>390</v>
      </c>
      <c r="C262" s="262" t="s">
        <v>37</v>
      </c>
      <c r="D262" s="41" t="s">
        <v>38</v>
      </c>
      <c r="E262" s="263">
        <v>0.5</v>
      </c>
      <c r="F262" s="98">
        <v>5.6</v>
      </c>
      <c r="G262" s="98">
        <f>E262*F262</f>
        <v>2.8</v>
      </c>
    </row>
    <row r="263" spans="1:9" x14ac:dyDescent="0.25">
      <c r="A263" s="18"/>
      <c r="B263" s="110" t="s">
        <v>394</v>
      </c>
      <c r="C263" s="23" t="s">
        <v>37</v>
      </c>
      <c r="D263" s="24" t="s">
        <v>38</v>
      </c>
      <c r="E263" s="104">
        <v>0.5</v>
      </c>
      <c r="F263" s="99">
        <v>4.47</v>
      </c>
      <c r="G263" s="99">
        <f>E263*F263</f>
        <v>2.2349999999999999</v>
      </c>
    </row>
    <row r="264" spans="1:9" x14ac:dyDescent="0.25">
      <c r="A264" s="295" t="s">
        <v>39</v>
      </c>
      <c r="B264" s="295"/>
      <c r="C264" s="295"/>
      <c r="D264" s="295"/>
      <c r="E264" s="295"/>
      <c r="F264" s="295"/>
      <c r="G264" s="90">
        <f>SUM(G262:G263)</f>
        <v>5.0350000000000001</v>
      </c>
    </row>
    <row r="265" spans="1:9" x14ac:dyDescent="0.25">
      <c r="A265" s="295" t="s">
        <v>40</v>
      </c>
      <c r="B265" s="295"/>
      <c r="C265" s="295"/>
      <c r="D265" s="295"/>
      <c r="E265" s="295"/>
      <c r="F265" s="295"/>
      <c r="G265" s="90">
        <f>SUM(G259:G261)</f>
        <v>0.51500000000000012</v>
      </c>
    </row>
    <row r="266" spans="1:9" x14ac:dyDescent="0.25">
      <c r="A266" s="295" t="s">
        <v>41</v>
      </c>
      <c r="B266" s="295"/>
      <c r="C266" s="295"/>
      <c r="D266" s="295"/>
      <c r="E266" s="295"/>
      <c r="F266" s="44">
        <f>E9</f>
        <v>0.86599999999999999</v>
      </c>
      <c r="G266" s="90">
        <f>(F266)*G264</f>
        <v>4.3603100000000001</v>
      </c>
      <c r="I266" s="17">
        <v>0.71</v>
      </c>
    </row>
    <row r="267" spans="1:9" x14ac:dyDescent="0.25">
      <c r="A267" s="295" t="s">
        <v>42</v>
      </c>
      <c r="B267" s="295"/>
      <c r="C267" s="295"/>
      <c r="D267" s="295"/>
      <c r="E267" s="295"/>
      <c r="F267" s="44">
        <f>G10</f>
        <v>0.28349999999999997</v>
      </c>
      <c r="G267" s="90">
        <f>SUM(G264,G265,G266)*F267</f>
        <v>2.8095728850000001</v>
      </c>
    </row>
    <row r="268" spans="1:9" x14ac:dyDescent="0.25">
      <c r="A268" s="295" t="s">
        <v>43</v>
      </c>
      <c r="B268" s="295"/>
      <c r="C268" s="295"/>
      <c r="D268" s="295"/>
      <c r="E268" s="295"/>
      <c r="F268" s="295"/>
      <c r="G268" s="90">
        <f>SUM(G264:G267)</f>
        <v>12.719882885000001</v>
      </c>
    </row>
    <row r="269" spans="1:9" x14ac:dyDescent="0.25">
      <c r="A269" s="295" t="s">
        <v>44</v>
      </c>
      <c r="B269" s="295"/>
      <c r="C269" s="295"/>
      <c r="D269" s="295"/>
      <c r="E269" s="295"/>
      <c r="F269" s="295"/>
      <c r="G269" s="91">
        <f>TRUNC(G267+G268,2)</f>
        <v>15.52</v>
      </c>
      <c r="H269" s="17">
        <v>15.55</v>
      </c>
      <c r="I269" s="25">
        <f>G269-H269</f>
        <v>-3.0000000000001137E-2</v>
      </c>
    </row>
    <row r="271" spans="1:9" x14ac:dyDescent="0.25">
      <c r="B271" s="48" t="s">
        <v>45</v>
      </c>
      <c r="C271" s="296" t="s">
        <v>59</v>
      </c>
      <c r="D271" s="296"/>
      <c r="E271" s="296"/>
    </row>
    <row r="272" spans="1:9" x14ac:dyDescent="0.25">
      <c r="B272" s="48" t="s">
        <v>46</v>
      </c>
      <c r="C272" s="297" t="s">
        <v>60</v>
      </c>
      <c r="D272" s="297"/>
      <c r="E272" s="297"/>
    </row>
    <row r="273" spans="1:9" x14ac:dyDescent="0.25">
      <c r="B273" s="196"/>
      <c r="C273" s="195"/>
      <c r="D273" s="195"/>
      <c r="E273" s="195"/>
    </row>
    <row r="274" spans="1:9" ht="18" x14ac:dyDescent="0.25">
      <c r="A274" s="33" t="s">
        <v>257</v>
      </c>
      <c r="B274" s="39" t="s">
        <v>240</v>
      </c>
      <c r="C274" s="20" t="s">
        <v>50</v>
      </c>
      <c r="D274" s="35" t="s">
        <v>36</v>
      </c>
      <c r="E274" s="21" t="s">
        <v>51</v>
      </c>
      <c r="F274" s="22" t="s">
        <v>52</v>
      </c>
      <c r="G274" s="22" t="s">
        <v>49</v>
      </c>
    </row>
    <row r="275" spans="1:9" ht="18" x14ac:dyDescent="0.25">
      <c r="A275" s="92"/>
      <c r="B275" s="238" t="s">
        <v>359</v>
      </c>
      <c r="C275" s="85" t="s">
        <v>35</v>
      </c>
      <c r="D275" s="85" t="s">
        <v>18</v>
      </c>
      <c r="E275" s="86">
        <v>0.12</v>
      </c>
      <c r="F275" s="87">
        <f>G298</f>
        <v>276.448688</v>
      </c>
      <c r="G275" s="87">
        <f>E275*F275</f>
        <v>33.173842559999997</v>
      </c>
    </row>
    <row r="276" spans="1:9" x14ac:dyDescent="0.25">
      <c r="A276" s="89"/>
      <c r="B276" s="253" t="s">
        <v>355</v>
      </c>
      <c r="C276" s="41" t="s">
        <v>37</v>
      </c>
      <c r="D276" s="41" t="s">
        <v>38</v>
      </c>
      <c r="E276" s="81">
        <v>0.4</v>
      </c>
      <c r="F276" s="82">
        <v>5.6</v>
      </c>
      <c r="G276" s="82">
        <f>E276*F276</f>
        <v>2.2399999999999998</v>
      </c>
    </row>
    <row r="277" spans="1:9" x14ac:dyDescent="0.25">
      <c r="A277" s="89"/>
      <c r="B277" s="95" t="s">
        <v>344</v>
      </c>
      <c r="C277" s="41" t="s">
        <v>37</v>
      </c>
      <c r="D277" s="41" t="s">
        <v>38</v>
      </c>
      <c r="E277" s="81">
        <v>1.2</v>
      </c>
      <c r="F277" s="82">
        <v>4.47</v>
      </c>
      <c r="G277" s="82">
        <f>E277*F277</f>
        <v>5.3639999999999999</v>
      </c>
    </row>
    <row r="278" spans="1:9" x14ac:dyDescent="0.25">
      <c r="A278" s="18"/>
      <c r="B278" s="40"/>
      <c r="C278" s="41"/>
      <c r="D278" s="41"/>
      <c r="E278" s="42"/>
      <c r="F278" s="43"/>
      <c r="G278" s="43"/>
    </row>
    <row r="279" spans="1:9" x14ac:dyDescent="0.25">
      <c r="A279" s="295" t="s">
        <v>39</v>
      </c>
      <c r="B279" s="295"/>
      <c r="C279" s="295"/>
      <c r="D279" s="295"/>
      <c r="E279" s="295"/>
      <c r="F279" s="295"/>
      <c r="G279" s="90">
        <f>SUM(G276:G277)</f>
        <v>7.6039999999999992</v>
      </c>
    </row>
    <row r="280" spans="1:9" x14ac:dyDescent="0.25">
      <c r="A280" s="295" t="s">
        <v>65</v>
      </c>
      <c r="B280" s="295"/>
      <c r="C280" s="295"/>
      <c r="D280" s="295"/>
      <c r="E280" s="295"/>
      <c r="F280" s="295"/>
      <c r="G280" s="90">
        <v>0</v>
      </c>
    </row>
    <row r="281" spans="1:9" x14ac:dyDescent="0.25">
      <c r="A281" s="295" t="s">
        <v>40</v>
      </c>
      <c r="B281" s="295"/>
      <c r="C281" s="295"/>
      <c r="D281" s="295"/>
      <c r="E281" s="295"/>
      <c r="F281" s="295"/>
      <c r="G281" s="90">
        <f>SUM(G275:G275)</f>
        <v>33.173842559999997</v>
      </c>
    </row>
    <row r="282" spans="1:9" x14ac:dyDescent="0.25">
      <c r="A282" s="295" t="s">
        <v>41</v>
      </c>
      <c r="B282" s="295"/>
      <c r="C282" s="295"/>
      <c r="D282" s="295"/>
      <c r="E282" s="295"/>
      <c r="F282" s="44">
        <f>E9</f>
        <v>0.86599999999999999</v>
      </c>
      <c r="G282" s="90">
        <f>(F282)*G279</f>
        <v>6.5850639999999991</v>
      </c>
    </row>
    <row r="283" spans="1:9" x14ac:dyDescent="0.25">
      <c r="A283" s="295" t="s">
        <v>42</v>
      </c>
      <c r="B283" s="295"/>
      <c r="C283" s="295"/>
      <c r="D283" s="295"/>
      <c r="E283" s="295"/>
      <c r="F283" s="44">
        <f>G10</f>
        <v>0.28349999999999997</v>
      </c>
      <c r="G283" s="90">
        <f>SUM(G279,G281,G282)*F283</f>
        <v>13.427384009759999</v>
      </c>
    </row>
    <row r="284" spans="1:9" x14ac:dyDescent="0.25">
      <c r="A284" s="295" t="s">
        <v>43</v>
      </c>
      <c r="B284" s="295"/>
      <c r="C284" s="295"/>
      <c r="D284" s="295"/>
      <c r="E284" s="295"/>
      <c r="F284" s="295"/>
      <c r="G284" s="90">
        <f>SUM(G279:G283)</f>
        <v>60.790290569759996</v>
      </c>
    </row>
    <row r="285" spans="1:9" x14ac:dyDescent="0.25">
      <c r="A285" s="295" t="s">
        <v>44</v>
      </c>
      <c r="B285" s="295"/>
      <c r="C285" s="295"/>
      <c r="D285" s="295"/>
      <c r="E285" s="295"/>
      <c r="F285" s="295"/>
      <c r="G285" s="91">
        <f>TRUNC(G283+G284,2)</f>
        <v>74.209999999999994</v>
      </c>
      <c r="H285" s="17">
        <v>87.09</v>
      </c>
      <c r="I285" s="25">
        <f>G285-H285</f>
        <v>-12.88000000000001</v>
      </c>
    </row>
    <row r="286" spans="1:9" x14ac:dyDescent="0.25">
      <c r="A286" s="46"/>
      <c r="B286" s="46"/>
      <c r="C286" s="46"/>
      <c r="D286" s="46"/>
      <c r="E286" s="46"/>
      <c r="F286" s="46"/>
      <c r="G286" s="47"/>
    </row>
    <row r="287" spans="1:9" ht="18" x14ac:dyDescent="0.25">
      <c r="A287" s="254" t="s">
        <v>356</v>
      </c>
      <c r="B287" s="39" t="s">
        <v>358</v>
      </c>
      <c r="C287" s="20" t="s">
        <v>50</v>
      </c>
      <c r="D287" s="35" t="s">
        <v>36</v>
      </c>
      <c r="E287" s="21" t="s">
        <v>51</v>
      </c>
      <c r="F287" s="22" t="s">
        <v>52</v>
      </c>
      <c r="G287" s="22" t="s">
        <v>49</v>
      </c>
    </row>
    <row r="288" spans="1:9" x14ac:dyDescent="0.25">
      <c r="A288" s="92"/>
      <c r="B288" s="93" t="s">
        <v>352</v>
      </c>
      <c r="C288" s="85" t="s">
        <v>35</v>
      </c>
      <c r="D288" s="85" t="s">
        <v>18</v>
      </c>
      <c r="E288" s="86">
        <v>0.6</v>
      </c>
      <c r="F288" s="87">
        <v>45</v>
      </c>
      <c r="G288" s="87">
        <f>E288*F288</f>
        <v>27</v>
      </c>
    </row>
    <row r="289" spans="1:9" x14ac:dyDescent="0.25">
      <c r="A289" s="89"/>
      <c r="B289" s="94" t="s">
        <v>353</v>
      </c>
      <c r="C289" s="41" t="s">
        <v>35</v>
      </c>
      <c r="D289" s="41" t="s">
        <v>48</v>
      </c>
      <c r="E289" s="82">
        <v>320</v>
      </c>
      <c r="F289" s="82">
        <v>0.57999999999999996</v>
      </c>
      <c r="G289" s="82">
        <f>E289*F289</f>
        <v>185.6</v>
      </c>
    </row>
    <row r="290" spans="1:9" ht="18" x14ac:dyDescent="0.25">
      <c r="A290" s="89"/>
      <c r="B290" s="253" t="s">
        <v>354</v>
      </c>
      <c r="C290" s="41" t="s">
        <v>35</v>
      </c>
      <c r="D290" s="41" t="s">
        <v>18</v>
      </c>
      <c r="E290" s="81">
        <v>0.6</v>
      </c>
      <c r="F290" s="82">
        <v>66</v>
      </c>
      <c r="G290" s="82">
        <f t="shared" ref="G290:G291" si="14">E290*F290</f>
        <v>39.6</v>
      </c>
    </row>
    <row r="291" spans="1:9" ht="18" x14ac:dyDescent="0.25">
      <c r="A291" s="89"/>
      <c r="B291" s="253" t="s">
        <v>351</v>
      </c>
      <c r="C291" s="41" t="s">
        <v>64</v>
      </c>
      <c r="D291" s="41" t="s">
        <v>47</v>
      </c>
      <c r="E291" s="81">
        <v>1.8335999999999999</v>
      </c>
      <c r="F291" s="82">
        <v>1.33</v>
      </c>
      <c r="G291" s="82">
        <f t="shared" si="14"/>
        <v>2.438688</v>
      </c>
    </row>
    <row r="292" spans="1:9" ht="18" x14ac:dyDescent="0.25">
      <c r="A292" s="89"/>
      <c r="B292" s="253" t="s">
        <v>350</v>
      </c>
      <c r="C292" s="41" t="s">
        <v>37</v>
      </c>
      <c r="D292" s="41" t="s">
        <v>38</v>
      </c>
      <c r="E292" s="81">
        <v>1.5</v>
      </c>
      <c r="F292" s="82">
        <v>5.6</v>
      </c>
      <c r="G292" s="82">
        <f>E292*F292</f>
        <v>8.3999999999999986</v>
      </c>
    </row>
    <row r="293" spans="1:9" x14ac:dyDescent="0.25">
      <c r="A293" s="89"/>
      <c r="B293" s="95" t="s">
        <v>344</v>
      </c>
      <c r="C293" s="41" t="s">
        <v>37</v>
      </c>
      <c r="D293" s="41" t="s">
        <v>38</v>
      </c>
      <c r="E293" s="81">
        <v>3</v>
      </c>
      <c r="F293" s="82">
        <v>4.47</v>
      </c>
      <c r="G293" s="82">
        <f>E293*F293</f>
        <v>13.41</v>
      </c>
    </row>
    <row r="294" spans="1:9" x14ac:dyDescent="0.25">
      <c r="A294" s="18"/>
      <c r="B294" s="40"/>
      <c r="C294" s="41"/>
      <c r="D294" s="41"/>
      <c r="E294" s="42"/>
      <c r="F294" s="43"/>
      <c r="G294" s="43"/>
    </row>
    <row r="295" spans="1:9" x14ac:dyDescent="0.25">
      <c r="A295" s="295" t="s">
        <v>39</v>
      </c>
      <c r="B295" s="295"/>
      <c r="C295" s="295"/>
      <c r="D295" s="295"/>
      <c r="E295" s="295"/>
      <c r="F295" s="295"/>
      <c r="G295" s="90">
        <f>SUM(G292:G293)</f>
        <v>21.81</v>
      </c>
    </row>
    <row r="296" spans="1:9" x14ac:dyDescent="0.25">
      <c r="A296" s="295" t="s">
        <v>65</v>
      </c>
      <c r="B296" s="295"/>
      <c r="C296" s="295"/>
      <c r="D296" s="295"/>
      <c r="E296" s="295"/>
      <c r="F296" s="295"/>
      <c r="G296" s="90">
        <f>SUM(G291)</f>
        <v>2.438688</v>
      </c>
    </row>
    <row r="297" spans="1:9" x14ac:dyDescent="0.25">
      <c r="A297" s="295" t="s">
        <v>40</v>
      </c>
      <c r="B297" s="295"/>
      <c r="C297" s="295"/>
      <c r="D297" s="295"/>
      <c r="E297" s="295"/>
      <c r="F297" s="295"/>
      <c r="G297" s="90">
        <f>SUM(G288:G290)</f>
        <v>252.2</v>
      </c>
    </row>
    <row r="298" spans="1:9" x14ac:dyDescent="0.25">
      <c r="A298" s="295" t="s">
        <v>357</v>
      </c>
      <c r="B298" s="295"/>
      <c r="C298" s="295"/>
      <c r="D298" s="295"/>
      <c r="E298" s="295"/>
      <c r="F298" s="295"/>
      <c r="G298" s="91">
        <f>SUM(G295:G297)</f>
        <v>276.448688</v>
      </c>
      <c r="H298" s="17">
        <v>282.86</v>
      </c>
      <c r="I298" s="25">
        <f>G298-H298</f>
        <v>-6.4113120000000094</v>
      </c>
    </row>
    <row r="299" spans="1:9" x14ac:dyDescent="0.25">
      <c r="A299" s="46"/>
      <c r="B299" s="46"/>
      <c r="C299" s="46"/>
      <c r="D299" s="46"/>
      <c r="E299" s="46"/>
      <c r="F299" s="46"/>
      <c r="G299" s="47"/>
    </row>
    <row r="300" spans="1:9" x14ac:dyDescent="0.25">
      <c r="A300" s="46"/>
      <c r="B300" s="46"/>
      <c r="C300" s="46"/>
      <c r="D300" s="46"/>
      <c r="E300" s="46"/>
      <c r="F300" s="46"/>
      <c r="G300" s="47"/>
    </row>
    <row r="301" spans="1:9" x14ac:dyDescent="0.25">
      <c r="A301" s="46"/>
      <c r="B301" s="196" t="s">
        <v>45</v>
      </c>
      <c r="C301" s="296" t="s">
        <v>59</v>
      </c>
      <c r="D301" s="296"/>
      <c r="E301" s="296"/>
      <c r="F301" s="46"/>
      <c r="G301" s="47"/>
    </row>
    <row r="302" spans="1:9" x14ac:dyDescent="0.25">
      <c r="A302" s="46"/>
      <c r="B302" s="196" t="s">
        <v>46</v>
      </c>
      <c r="C302" s="297" t="s">
        <v>60</v>
      </c>
      <c r="D302" s="297"/>
      <c r="E302" s="297"/>
      <c r="F302" s="46"/>
      <c r="G302" s="47"/>
    </row>
    <row r="303" spans="1:9" x14ac:dyDescent="0.25">
      <c r="A303" s="46"/>
      <c r="B303" s="196"/>
      <c r="C303" s="195"/>
      <c r="D303" s="195"/>
      <c r="E303" s="195"/>
      <c r="F303" s="46"/>
      <c r="G303" s="47"/>
    </row>
    <row r="304" spans="1:9" ht="45" x14ac:dyDescent="0.25">
      <c r="A304" s="33" t="s">
        <v>258</v>
      </c>
      <c r="B304" s="39" t="s">
        <v>310</v>
      </c>
      <c r="C304" s="20" t="s">
        <v>50</v>
      </c>
      <c r="D304" s="35" t="s">
        <v>36</v>
      </c>
      <c r="E304" s="21" t="s">
        <v>51</v>
      </c>
      <c r="F304" s="22" t="s">
        <v>52</v>
      </c>
      <c r="G304" s="22" t="s">
        <v>49</v>
      </c>
    </row>
    <row r="305" spans="1:9" x14ac:dyDescent="0.25">
      <c r="A305" s="92"/>
      <c r="B305" s="93" t="s">
        <v>225</v>
      </c>
      <c r="C305" s="85" t="s">
        <v>35</v>
      </c>
      <c r="D305" s="85" t="s">
        <v>48</v>
      </c>
      <c r="E305" s="86">
        <v>1.1000000000000001</v>
      </c>
      <c r="F305" s="87">
        <v>2.85</v>
      </c>
      <c r="G305" s="87">
        <f>E305*F305</f>
        <v>3.1350000000000002</v>
      </c>
    </row>
    <row r="306" spans="1:9" x14ac:dyDescent="0.25">
      <c r="A306" s="18"/>
      <c r="B306" s="80" t="s">
        <v>360</v>
      </c>
      <c r="C306" s="41" t="s">
        <v>35</v>
      </c>
      <c r="D306" s="41" t="s">
        <v>9</v>
      </c>
      <c r="E306" s="81">
        <v>0.74</v>
      </c>
      <c r="F306" s="82">
        <v>0.09</v>
      </c>
      <c r="G306" s="82">
        <f>E306*F306</f>
        <v>6.6599999999999993E-2</v>
      </c>
    </row>
    <row r="307" spans="1:9" x14ac:dyDescent="0.25">
      <c r="A307" s="89"/>
      <c r="B307" s="94" t="s">
        <v>77</v>
      </c>
      <c r="C307" s="41" t="s">
        <v>35</v>
      </c>
      <c r="D307" s="41" t="s">
        <v>48</v>
      </c>
      <c r="E307" s="81">
        <v>1.2E-2</v>
      </c>
      <c r="F307" s="82">
        <v>8.5</v>
      </c>
      <c r="G307" s="82">
        <f>E307*F307</f>
        <v>0.10200000000000001</v>
      </c>
    </row>
    <row r="308" spans="1:9" x14ac:dyDescent="0.25">
      <c r="A308" s="89"/>
      <c r="B308" s="94" t="s">
        <v>392</v>
      </c>
      <c r="C308" s="41" t="s">
        <v>37</v>
      </c>
      <c r="D308" s="41" t="s">
        <v>38</v>
      </c>
      <c r="E308" s="81">
        <v>0.03</v>
      </c>
      <c r="F308" s="82">
        <v>5.6</v>
      </c>
      <c r="G308" s="82">
        <f>E308*F308</f>
        <v>0.16799999999999998</v>
      </c>
    </row>
    <row r="309" spans="1:9" ht="18" x14ac:dyDescent="0.25">
      <c r="A309" s="89"/>
      <c r="B309" s="95" t="s">
        <v>393</v>
      </c>
      <c r="C309" s="41" t="s">
        <v>37</v>
      </c>
      <c r="D309" s="41" t="s">
        <v>38</v>
      </c>
      <c r="E309" s="81">
        <v>0.03</v>
      </c>
      <c r="F309" s="82">
        <v>4.47</v>
      </c>
      <c r="G309" s="82">
        <f>E309*F309</f>
        <v>0.1341</v>
      </c>
    </row>
    <row r="310" spans="1:9" x14ac:dyDescent="0.25">
      <c r="A310" s="18"/>
      <c r="B310" s="40"/>
      <c r="C310" s="41"/>
      <c r="D310" s="41"/>
      <c r="E310" s="42"/>
      <c r="F310" s="43"/>
      <c r="G310" s="43"/>
    </row>
    <row r="311" spans="1:9" x14ac:dyDescent="0.25">
      <c r="A311" s="295" t="s">
        <v>39</v>
      </c>
      <c r="B311" s="295"/>
      <c r="C311" s="295"/>
      <c r="D311" s="295"/>
      <c r="E311" s="295"/>
      <c r="F311" s="295"/>
      <c r="G311" s="90">
        <f>SUM(G308:G309)</f>
        <v>0.30209999999999998</v>
      </c>
    </row>
    <row r="312" spans="1:9" x14ac:dyDescent="0.25">
      <c r="A312" s="295" t="s">
        <v>40</v>
      </c>
      <c r="B312" s="295"/>
      <c r="C312" s="295"/>
      <c r="D312" s="295"/>
      <c r="E312" s="295"/>
      <c r="F312" s="295"/>
      <c r="G312" s="90">
        <f>SUM(G305:G307)</f>
        <v>3.3035999999999999</v>
      </c>
    </row>
    <row r="313" spans="1:9" x14ac:dyDescent="0.25">
      <c r="A313" s="295" t="s">
        <v>41</v>
      </c>
      <c r="B313" s="295"/>
      <c r="C313" s="295"/>
      <c r="D313" s="295"/>
      <c r="E313" s="295"/>
      <c r="F313" s="44">
        <f>E9</f>
        <v>0.86599999999999999</v>
      </c>
      <c r="G313" s="90">
        <f>(F313)*G311</f>
        <v>0.26161859999999998</v>
      </c>
    </row>
    <row r="314" spans="1:9" x14ac:dyDescent="0.25">
      <c r="A314" s="295" t="s">
        <v>42</v>
      </c>
      <c r="B314" s="295"/>
      <c r="C314" s="295"/>
      <c r="D314" s="295"/>
      <c r="E314" s="295"/>
      <c r="F314" s="44">
        <f>G10</f>
        <v>0.28349999999999997</v>
      </c>
      <c r="G314" s="90">
        <f>SUM(G311,G312,G313)*F314</f>
        <v>1.0963848230999997</v>
      </c>
    </row>
    <row r="315" spans="1:9" x14ac:dyDescent="0.25">
      <c r="A315" s="295" t="s">
        <v>43</v>
      </c>
      <c r="B315" s="295"/>
      <c r="C315" s="295"/>
      <c r="D315" s="295"/>
      <c r="E315" s="295"/>
      <c r="F315" s="295"/>
      <c r="G315" s="90">
        <f>SUM(G311:G314)</f>
        <v>4.9637034230999992</v>
      </c>
    </row>
    <row r="316" spans="1:9" x14ac:dyDescent="0.25">
      <c r="A316" s="295" t="s">
        <v>44</v>
      </c>
      <c r="B316" s="295"/>
      <c r="C316" s="295"/>
      <c r="D316" s="295"/>
      <c r="E316" s="295"/>
      <c r="F316" s="295"/>
      <c r="G316" s="91">
        <f>TRUNC(G314+G315,2)</f>
        <v>6.06</v>
      </c>
      <c r="H316" s="17">
        <v>6.07</v>
      </c>
      <c r="I316" s="25">
        <f>G316-H316</f>
        <v>-1.0000000000000675E-2</v>
      </c>
    </row>
    <row r="317" spans="1:9" x14ac:dyDescent="0.25">
      <c r="A317" s="46"/>
      <c r="B317" s="46"/>
      <c r="C317" s="46"/>
      <c r="D317" s="46"/>
      <c r="E317" s="46"/>
      <c r="F317" s="46"/>
      <c r="G317" s="47"/>
    </row>
    <row r="318" spans="1:9" x14ac:dyDescent="0.25">
      <c r="A318" s="46"/>
      <c r="B318" s="196" t="s">
        <v>45</v>
      </c>
      <c r="C318" s="296" t="s">
        <v>59</v>
      </c>
      <c r="D318" s="296"/>
      <c r="E318" s="296"/>
      <c r="F318" s="46"/>
      <c r="G318" s="47"/>
    </row>
    <row r="319" spans="1:9" x14ac:dyDescent="0.25">
      <c r="A319" s="46"/>
      <c r="B319" s="196" t="s">
        <v>46</v>
      </c>
      <c r="C319" s="297" t="s">
        <v>60</v>
      </c>
      <c r="D319" s="297"/>
      <c r="E319" s="297"/>
      <c r="F319" s="46"/>
      <c r="G319" s="47"/>
    </row>
    <row r="320" spans="1:9" x14ac:dyDescent="0.25">
      <c r="B320" s="196"/>
      <c r="C320" s="195"/>
      <c r="D320" s="195"/>
      <c r="E320" s="195"/>
    </row>
    <row r="321" spans="1:9" ht="50.25" customHeight="1" x14ac:dyDescent="0.25">
      <c r="A321" s="33" t="s">
        <v>259</v>
      </c>
      <c r="B321" s="274" t="s">
        <v>430</v>
      </c>
      <c r="C321" s="20" t="s">
        <v>50</v>
      </c>
      <c r="D321" s="35" t="s">
        <v>36</v>
      </c>
      <c r="E321" s="21" t="s">
        <v>51</v>
      </c>
      <c r="F321" s="22" t="s">
        <v>52</v>
      </c>
      <c r="G321" s="22" t="s">
        <v>49</v>
      </c>
    </row>
    <row r="322" spans="1:9" ht="27" x14ac:dyDescent="0.25">
      <c r="A322" s="92"/>
      <c r="B322" s="238" t="s">
        <v>431</v>
      </c>
      <c r="C322" s="85" t="s">
        <v>35</v>
      </c>
      <c r="D322" s="85" t="s">
        <v>48</v>
      </c>
      <c r="E322" s="86">
        <v>1.1000000000000001</v>
      </c>
      <c r="F322" s="87">
        <v>2.85</v>
      </c>
      <c r="G322" s="87">
        <f>E322*F322</f>
        <v>3.1350000000000002</v>
      </c>
    </row>
    <row r="323" spans="1:9" x14ac:dyDescent="0.25">
      <c r="A323" s="18"/>
      <c r="B323" s="80" t="s">
        <v>425</v>
      </c>
      <c r="C323" s="41" t="s">
        <v>35</v>
      </c>
      <c r="D323" s="41" t="s">
        <v>9</v>
      </c>
      <c r="E323" s="81">
        <v>0.74</v>
      </c>
      <c r="F323" s="82">
        <v>0.09</v>
      </c>
      <c r="G323" s="82">
        <f>E323*F323</f>
        <v>6.6599999999999993E-2</v>
      </c>
    </row>
    <row r="324" spans="1:9" x14ac:dyDescent="0.25">
      <c r="A324" s="89"/>
      <c r="B324" s="94" t="s">
        <v>426</v>
      </c>
      <c r="C324" s="41" t="s">
        <v>35</v>
      </c>
      <c r="D324" s="41" t="s">
        <v>48</v>
      </c>
      <c r="E324" s="81">
        <v>1.2E-2</v>
      </c>
      <c r="F324" s="82">
        <v>8.5</v>
      </c>
      <c r="G324" s="82">
        <f>E324*F324</f>
        <v>0.10200000000000001</v>
      </c>
    </row>
    <row r="325" spans="1:9" x14ac:dyDescent="0.25">
      <c r="A325" s="89"/>
      <c r="B325" s="94" t="s">
        <v>392</v>
      </c>
      <c r="C325" s="41" t="s">
        <v>37</v>
      </c>
      <c r="D325" s="41" t="s">
        <v>38</v>
      </c>
      <c r="E325" s="81">
        <v>0.03</v>
      </c>
      <c r="F325" s="82">
        <v>5.6</v>
      </c>
      <c r="G325" s="82">
        <f>E325*F325</f>
        <v>0.16799999999999998</v>
      </c>
    </row>
    <row r="326" spans="1:9" ht="18" x14ac:dyDescent="0.25">
      <c r="A326" s="89"/>
      <c r="B326" s="95" t="s">
        <v>393</v>
      </c>
      <c r="C326" s="41" t="s">
        <v>37</v>
      </c>
      <c r="D326" s="41" t="s">
        <v>38</v>
      </c>
      <c r="E326" s="81">
        <v>0.03</v>
      </c>
      <c r="F326" s="82">
        <v>4.47</v>
      </c>
      <c r="G326" s="82">
        <f>E326*F326</f>
        <v>0.1341</v>
      </c>
    </row>
    <row r="327" spans="1:9" x14ac:dyDescent="0.25">
      <c r="A327" s="295" t="s">
        <v>39</v>
      </c>
      <c r="B327" s="295"/>
      <c r="C327" s="295"/>
      <c r="D327" s="295"/>
      <c r="E327" s="295"/>
      <c r="F327" s="295"/>
      <c r="G327" s="90">
        <f>SUM(G325:G326)</f>
        <v>0.30209999999999998</v>
      </c>
    </row>
    <row r="328" spans="1:9" x14ac:dyDescent="0.25">
      <c r="A328" s="295" t="s">
        <v>40</v>
      </c>
      <c r="B328" s="295"/>
      <c r="C328" s="295"/>
      <c r="D328" s="295"/>
      <c r="E328" s="295"/>
      <c r="F328" s="295"/>
      <c r="G328" s="90">
        <f>SUM(G322:G324)</f>
        <v>3.3035999999999999</v>
      </c>
    </row>
    <row r="329" spans="1:9" x14ac:dyDescent="0.25">
      <c r="A329" s="295" t="s">
        <v>41</v>
      </c>
      <c r="B329" s="295"/>
      <c r="C329" s="295"/>
      <c r="D329" s="295"/>
      <c r="E329" s="295"/>
      <c r="F329" s="44">
        <f>E9</f>
        <v>0.86599999999999999</v>
      </c>
      <c r="G329" s="90">
        <f>(F329)*G327</f>
        <v>0.26161859999999998</v>
      </c>
    </row>
    <row r="330" spans="1:9" x14ac:dyDescent="0.25">
      <c r="A330" s="295" t="s">
        <v>42</v>
      </c>
      <c r="B330" s="295"/>
      <c r="C330" s="295"/>
      <c r="D330" s="295"/>
      <c r="E330" s="295"/>
      <c r="F330" s="44">
        <f>G10</f>
        <v>0.28349999999999997</v>
      </c>
      <c r="G330" s="90">
        <f>SUM(G327,G328,G329)*F330</f>
        <v>1.0963848230999997</v>
      </c>
    </row>
    <row r="331" spans="1:9" x14ac:dyDescent="0.25">
      <c r="A331" s="295" t="s">
        <v>43</v>
      </c>
      <c r="B331" s="295"/>
      <c r="C331" s="295"/>
      <c r="D331" s="295"/>
      <c r="E331" s="295"/>
      <c r="F331" s="295"/>
      <c r="G331" s="90">
        <f>SUM(G327:G330)</f>
        <v>4.9637034230999992</v>
      </c>
    </row>
    <row r="332" spans="1:9" x14ac:dyDescent="0.25">
      <c r="A332" s="295" t="s">
        <v>44</v>
      </c>
      <c r="B332" s="295"/>
      <c r="C332" s="295"/>
      <c r="D332" s="295"/>
      <c r="E332" s="295"/>
      <c r="F332" s="295"/>
      <c r="G332" s="91">
        <f>TRUNC(G330+G331,2)</f>
        <v>6.06</v>
      </c>
      <c r="H332" s="17">
        <v>6.07</v>
      </c>
      <c r="I332" s="25">
        <f>G332-H332</f>
        <v>-1.0000000000000675E-2</v>
      </c>
    </row>
    <row r="333" spans="1:9" x14ac:dyDescent="0.25">
      <c r="A333" s="46"/>
      <c r="B333" s="46"/>
      <c r="C333" s="46"/>
      <c r="D333" s="46"/>
      <c r="E333" s="46"/>
      <c r="F333" s="46"/>
      <c r="G333" s="47"/>
    </row>
    <row r="334" spans="1:9" x14ac:dyDescent="0.25">
      <c r="A334" s="46"/>
      <c r="B334" s="196" t="s">
        <v>45</v>
      </c>
      <c r="C334" s="296" t="s">
        <v>59</v>
      </c>
      <c r="D334" s="296"/>
      <c r="E334" s="296"/>
      <c r="F334" s="46"/>
      <c r="G334" s="47"/>
    </row>
    <row r="335" spans="1:9" x14ac:dyDescent="0.25">
      <c r="A335" s="46"/>
      <c r="B335" s="196" t="s">
        <v>46</v>
      </c>
      <c r="C335" s="297" t="s">
        <v>60</v>
      </c>
      <c r="D335" s="297"/>
      <c r="E335" s="297"/>
      <c r="F335" s="46"/>
      <c r="G335" s="47"/>
    </row>
    <row r="336" spans="1:9" ht="51" customHeight="1" x14ac:dyDescent="0.25">
      <c r="A336" s="33" t="s">
        <v>260</v>
      </c>
      <c r="B336" s="274" t="s">
        <v>433</v>
      </c>
      <c r="C336" s="20" t="s">
        <v>50</v>
      </c>
      <c r="D336" s="35" t="s">
        <v>36</v>
      </c>
      <c r="E336" s="21" t="s">
        <v>51</v>
      </c>
      <c r="F336" s="22" t="s">
        <v>52</v>
      </c>
      <c r="G336" s="22" t="s">
        <v>49</v>
      </c>
    </row>
    <row r="337" spans="1:9" ht="27" x14ac:dyDescent="0.25">
      <c r="A337" s="92"/>
      <c r="B337" s="238" t="s">
        <v>432</v>
      </c>
      <c r="C337" s="85" t="s">
        <v>35</v>
      </c>
      <c r="D337" s="85" t="s">
        <v>48</v>
      </c>
      <c r="E337" s="86">
        <v>1.1000000000000001</v>
      </c>
      <c r="F337" s="87">
        <v>2.85</v>
      </c>
      <c r="G337" s="87">
        <f>E337*F337</f>
        <v>3.1350000000000002</v>
      </c>
    </row>
    <row r="338" spans="1:9" x14ac:dyDescent="0.25">
      <c r="A338" s="18"/>
      <c r="B338" s="80" t="s">
        <v>425</v>
      </c>
      <c r="C338" s="41" t="s">
        <v>35</v>
      </c>
      <c r="D338" s="41" t="s">
        <v>9</v>
      </c>
      <c r="E338" s="81">
        <v>0.74</v>
      </c>
      <c r="F338" s="82">
        <v>0.09</v>
      </c>
      <c r="G338" s="82">
        <f>E338*F338</f>
        <v>6.6599999999999993E-2</v>
      </c>
    </row>
    <row r="339" spans="1:9" x14ac:dyDescent="0.25">
      <c r="A339" s="89"/>
      <c r="B339" s="94" t="s">
        <v>426</v>
      </c>
      <c r="C339" s="41" t="s">
        <v>35</v>
      </c>
      <c r="D339" s="41" t="s">
        <v>48</v>
      </c>
      <c r="E339" s="81">
        <v>1.2E-2</v>
      </c>
      <c r="F339" s="82">
        <v>8.5</v>
      </c>
      <c r="G339" s="82">
        <f>E339*F339</f>
        <v>0.10200000000000001</v>
      </c>
    </row>
    <row r="340" spans="1:9" x14ac:dyDescent="0.25">
      <c r="A340" s="89"/>
      <c r="B340" s="94" t="s">
        <v>392</v>
      </c>
      <c r="C340" s="41" t="s">
        <v>37</v>
      </c>
      <c r="D340" s="41" t="s">
        <v>38</v>
      </c>
      <c r="E340" s="81">
        <v>0.03</v>
      </c>
      <c r="F340" s="82">
        <v>5.6</v>
      </c>
      <c r="G340" s="82">
        <f>E340*F340</f>
        <v>0.16799999999999998</v>
      </c>
    </row>
    <row r="341" spans="1:9" ht="18" x14ac:dyDescent="0.25">
      <c r="A341" s="89"/>
      <c r="B341" s="95" t="s">
        <v>393</v>
      </c>
      <c r="C341" s="41" t="s">
        <v>37</v>
      </c>
      <c r="D341" s="41" t="s">
        <v>38</v>
      </c>
      <c r="E341" s="81">
        <v>0.03</v>
      </c>
      <c r="F341" s="82">
        <v>4.47</v>
      </c>
      <c r="G341" s="82">
        <f>E341*F341</f>
        <v>0.1341</v>
      </c>
    </row>
    <row r="342" spans="1:9" x14ac:dyDescent="0.25">
      <c r="A342" s="295" t="s">
        <v>39</v>
      </c>
      <c r="B342" s="295"/>
      <c r="C342" s="295"/>
      <c r="D342" s="295"/>
      <c r="E342" s="295"/>
      <c r="F342" s="295"/>
      <c r="G342" s="90">
        <f>SUM(G340:G341)</f>
        <v>0.30209999999999998</v>
      </c>
    </row>
    <row r="343" spans="1:9" x14ac:dyDescent="0.25">
      <c r="A343" s="295" t="s">
        <v>40</v>
      </c>
      <c r="B343" s="295"/>
      <c r="C343" s="295"/>
      <c r="D343" s="295"/>
      <c r="E343" s="295"/>
      <c r="F343" s="295"/>
      <c r="G343" s="90">
        <f>SUM(G337:G339)</f>
        <v>3.3035999999999999</v>
      </c>
    </row>
    <row r="344" spans="1:9" x14ac:dyDescent="0.25">
      <c r="A344" s="295" t="s">
        <v>41</v>
      </c>
      <c r="B344" s="295"/>
      <c r="C344" s="295"/>
      <c r="D344" s="295"/>
      <c r="E344" s="295"/>
      <c r="F344" s="44">
        <f>E9</f>
        <v>0.86599999999999999</v>
      </c>
      <c r="G344" s="90">
        <f>(F344)*G342</f>
        <v>0.26161859999999998</v>
      </c>
    </row>
    <row r="345" spans="1:9" x14ac:dyDescent="0.25">
      <c r="A345" s="295" t="s">
        <v>42</v>
      </c>
      <c r="B345" s="295"/>
      <c r="C345" s="295"/>
      <c r="D345" s="295"/>
      <c r="E345" s="295"/>
      <c r="F345" s="44">
        <f>G10</f>
        <v>0.28349999999999997</v>
      </c>
      <c r="G345" s="90">
        <f>SUM(G342,G343,G344)*F345</f>
        <v>1.0963848230999997</v>
      </c>
    </row>
    <row r="346" spans="1:9" x14ac:dyDescent="0.25">
      <c r="A346" s="295" t="s">
        <v>43</v>
      </c>
      <c r="B346" s="295"/>
      <c r="C346" s="295"/>
      <c r="D346" s="295"/>
      <c r="E346" s="295"/>
      <c r="F346" s="295"/>
      <c r="G346" s="90">
        <f>SUM(G342:G345)</f>
        <v>4.9637034230999992</v>
      </c>
    </row>
    <row r="347" spans="1:9" x14ac:dyDescent="0.25">
      <c r="A347" s="295" t="s">
        <v>44</v>
      </c>
      <c r="B347" s="295"/>
      <c r="C347" s="295"/>
      <c r="D347" s="295"/>
      <c r="E347" s="295"/>
      <c r="F347" s="295"/>
      <c r="G347" s="91">
        <f>TRUNC(G345+G346,2)</f>
        <v>6.06</v>
      </c>
      <c r="H347" s="17">
        <v>6.07</v>
      </c>
      <c r="I347" s="25">
        <f>G347-H347</f>
        <v>-1.0000000000000675E-2</v>
      </c>
    </row>
    <row r="348" spans="1:9" x14ac:dyDescent="0.25">
      <c r="A348" s="46"/>
      <c r="B348" s="46"/>
      <c r="C348" s="46"/>
      <c r="D348" s="46"/>
      <c r="E348" s="46"/>
      <c r="F348" s="46"/>
      <c r="G348" s="47"/>
    </row>
    <row r="349" spans="1:9" x14ac:dyDescent="0.25">
      <c r="A349" s="46"/>
      <c r="B349" s="196" t="s">
        <v>45</v>
      </c>
      <c r="C349" s="296" t="s">
        <v>59</v>
      </c>
      <c r="D349" s="296"/>
      <c r="E349" s="296"/>
      <c r="F349" s="46"/>
      <c r="G349" s="47"/>
    </row>
    <row r="350" spans="1:9" x14ac:dyDescent="0.25">
      <c r="A350" s="46"/>
      <c r="B350" s="196" t="s">
        <v>46</v>
      </c>
      <c r="C350" s="297" t="s">
        <v>60</v>
      </c>
      <c r="D350" s="297"/>
      <c r="E350" s="297"/>
      <c r="F350" s="46"/>
      <c r="G350" s="47"/>
    </row>
    <row r="351" spans="1:9" ht="45" customHeight="1" x14ac:dyDescent="0.25">
      <c r="A351" s="33" t="s">
        <v>261</v>
      </c>
      <c r="B351" s="274" t="s">
        <v>434</v>
      </c>
      <c r="C351" s="20" t="s">
        <v>50</v>
      </c>
      <c r="D351" s="35" t="s">
        <v>36</v>
      </c>
      <c r="E351" s="21" t="s">
        <v>51</v>
      </c>
      <c r="F351" s="22" t="s">
        <v>52</v>
      </c>
      <c r="G351" s="22" t="s">
        <v>49</v>
      </c>
    </row>
    <row r="352" spans="1:9" ht="27" x14ac:dyDescent="0.25">
      <c r="A352" s="92"/>
      <c r="B352" s="238" t="s">
        <v>435</v>
      </c>
      <c r="C352" s="85" t="s">
        <v>35</v>
      </c>
      <c r="D352" s="85" t="s">
        <v>48</v>
      </c>
      <c r="E352" s="86">
        <v>1.1000000000000001</v>
      </c>
      <c r="F352" s="87">
        <v>4</v>
      </c>
      <c r="G352" s="87">
        <f>E352*F352</f>
        <v>4.4000000000000004</v>
      </c>
    </row>
    <row r="353" spans="1:9" x14ac:dyDescent="0.25">
      <c r="A353" s="18"/>
      <c r="B353" s="80" t="s">
        <v>436</v>
      </c>
      <c r="C353" s="41" t="s">
        <v>35</v>
      </c>
      <c r="D353" s="41" t="s">
        <v>9</v>
      </c>
      <c r="E353" s="81">
        <v>0.74</v>
      </c>
      <c r="F353" s="82">
        <v>0.09</v>
      </c>
      <c r="G353" s="82">
        <f>E353*F353</f>
        <v>6.6599999999999993E-2</v>
      </c>
    </row>
    <row r="354" spans="1:9" x14ac:dyDescent="0.25">
      <c r="A354" s="89"/>
      <c r="B354" s="94" t="s">
        <v>426</v>
      </c>
      <c r="C354" s="41" t="s">
        <v>35</v>
      </c>
      <c r="D354" s="41" t="s">
        <v>48</v>
      </c>
      <c r="E354" s="81">
        <v>1.2E-2</v>
      </c>
      <c r="F354" s="82">
        <v>8.5</v>
      </c>
      <c r="G354" s="82">
        <f>E354*F354</f>
        <v>0.10200000000000001</v>
      </c>
    </row>
    <row r="355" spans="1:9" x14ac:dyDescent="0.25">
      <c r="A355" s="89"/>
      <c r="B355" s="94" t="s">
        <v>392</v>
      </c>
      <c r="C355" s="41" t="s">
        <v>37</v>
      </c>
      <c r="D355" s="41" t="s">
        <v>38</v>
      </c>
      <c r="E355" s="81">
        <v>0.03</v>
      </c>
      <c r="F355" s="82">
        <v>5.6</v>
      </c>
      <c r="G355" s="82">
        <f>E355*F355</f>
        <v>0.16799999999999998</v>
      </c>
    </row>
    <row r="356" spans="1:9" ht="18" x14ac:dyDescent="0.25">
      <c r="A356" s="89"/>
      <c r="B356" s="95" t="s">
        <v>393</v>
      </c>
      <c r="C356" s="41" t="s">
        <v>37</v>
      </c>
      <c r="D356" s="41" t="s">
        <v>38</v>
      </c>
      <c r="E356" s="81">
        <v>0.03</v>
      </c>
      <c r="F356" s="82">
        <v>4.47</v>
      </c>
      <c r="G356" s="82">
        <f>E356*F356</f>
        <v>0.1341</v>
      </c>
    </row>
    <row r="357" spans="1:9" x14ac:dyDescent="0.25">
      <c r="A357" s="295" t="s">
        <v>39</v>
      </c>
      <c r="B357" s="295"/>
      <c r="C357" s="295"/>
      <c r="D357" s="295"/>
      <c r="E357" s="295"/>
      <c r="F357" s="295"/>
      <c r="G357" s="90">
        <f>SUM(G355:G356)</f>
        <v>0.30209999999999998</v>
      </c>
    </row>
    <row r="358" spans="1:9" x14ac:dyDescent="0.25">
      <c r="A358" s="295" t="s">
        <v>40</v>
      </c>
      <c r="B358" s="295"/>
      <c r="C358" s="295"/>
      <c r="D358" s="295"/>
      <c r="E358" s="295"/>
      <c r="F358" s="295"/>
      <c r="G358" s="90">
        <f>SUM(G352:G354)</f>
        <v>4.5686000000000009</v>
      </c>
    </row>
    <row r="359" spans="1:9" x14ac:dyDescent="0.25">
      <c r="A359" s="295" t="s">
        <v>41</v>
      </c>
      <c r="B359" s="295"/>
      <c r="C359" s="295"/>
      <c r="D359" s="295"/>
      <c r="E359" s="295"/>
      <c r="F359" s="44">
        <f>E9</f>
        <v>0.86599999999999999</v>
      </c>
      <c r="G359" s="90">
        <f>(F359)*G357</f>
        <v>0.26161859999999998</v>
      </c>
    </row>
    <row r="360" spans="1:9" x14ac:dyDescent="0.25">
      <c r="A360" s="295" t="s">
        <v>42</v>
      </c>
      <c r="B360" s="295"/>
      <c r="C360" s="295"/>
      <c r="D360" s="295"/>
      <c r="E360" s="295"/>
      <c r="F360" s="44">
        <f>G10</f>
        <v>0.28349999999999997</v>
      </c>
      <c r="G360" s="90">
        <f>SUM(G357,G358,G359)*F360</f>
        <v>1.4550123231000003</v>
      </c>
    </row>
    <row r="361" spans="1:9" x14ac:dyDescent="0.25">
      <c r="A361" s="295" t="s">
        <v>43</v>
      </c>
      <c r="B361" s="295"/>
      <c r="C361" s="295"/>
      <c r="D361" s="295"/>
      <c r="E361" s="295"/>
      <c r="F361" s="295"/>
      <c r="G361" s="90">
        <f>SUM(G357:G360)</f>
        <v>6.5873309231000015</v>
      </c>
    </row>
    <row r="362" spans="1:9" x14ac:dyDescent="0.25">
      <c r="A362" s="295" t="s">
        <v>44</v>
      </c>
      <c r="B362" s="295"/>
      <c r="C362" s="295"/>
      <c r="D362" s="295"/>
      <c r="E362" s="295"/>
      <c r="F362" s="295"/>
      <c r="G362" s="91">
        <f>TRUNC(G360+G361,2)</f>
        <v>8.0399999999999991</v>
      </c>
      <c r="H362" s="17">
        <v>8.0500000000000007</v>
      </c>
      <c r="I362" s="25">
        <f>G362-H362</f>
        <v>-1.0000000000001563E-2</v>
      </c>
    </row>
    <row r="363" spans="1:9" x14ac:dyDescent="0.25">
      <c r="A363" s="46"/>
      <c r="B363" s="46"/>
      <c r="C363" s="46"/>
      <c r="D363" s="46"/>
      <c r="E363" s="46"/>
      <c r="F363" s="46"/>
      <c r="G363" s="47"/>
    </row>
    <row r="364" spans="1:9" x14ac:dyDescent="0.25">
      <c r="A364" s="46"/>
      <c r="B364" s="196" t="s">
        <v>45</v>
      </c>
      <c r="C364" s="296" t="s">
        <v>59</v>
      </c>
      <c r="D364" s="296"/>
      <c r="E364" s="296"/>
      <c r="F364" s="46"/>
      <c r="G364" s="47"/>
    </row>
    <row r="365" spans="1:9" x14ac:dyDescent="0.25">
      <c r="A365" s="46"/>
      <c r="B365" s="196" t="s">
        <v>46</v>
      </c>
      <c r="C365" s="297" t="s">
        <v>60</v>
      </c>
      <c r="D365" s="297"/>
      <c r="E365" s="297"/>
      <c r="F365" s="46"/>
      <c r="G365" s="47"/>
    </row>
    <row r="366" spans="1:9" ht="18" x14ac:dyDescent="0.25">
      <c r="A366" s="33" t="s">
        <v>262</v>
      </c>
      <c r="B366" s="39" t="s">
        <v>241</v>
      </c>
      <c r="C366" s="20" t="s">
        <v>50</v>
      </c>
      <c r="D366" s="35" t="s">
        <v>36</v>
      </c>
      <c r="E366" s="21" t="s">
        <v>51</v>
      </c>
      <c r="F366" s="22" t="s">
        <v>52</v>
      </c>
      <c r="G366" s="22" t="s">
        <v>49</v>
      </c>
    </row>
    <row r="367" spans="1:9" ht="18" x14ac:dyDescent="0.25">
      <c r="A367" s="88"/>
      <c r="B367" s="80" t="s">
        <v>379</v>
      </c>
      <c r="C367" s="41" t="s">
        <v>35</v>
      </c>
      <c r="D367" s="41" t="s">
        <v>12</v>
      </c>
      <c r="E367" s="81">
        <v>1.6</v>
      </c>
      <c r="F367" s="82">
        <v>5.18</v>
      </c>
      <c r="G367" s="82">
        <f>E367*F367</f>
        <v>8.2880000000000003</v>
      </c>
    </row>
    <row r="368" spans="1:9" ht="18" x14ac:dyDescent="0.25">
      <c r="A368" s="88"/>
      <c r="B368" s="80" t="s">
        <v>437</v>
      </c>
      <c r="C368" s="41" t="s">
        <v>35</v>
      </c>
      <c r="D368" s="41" t="s">
        <v>12</v>
      </c>
      <c r="E368" s="81">
        <v>0.27</v>
      </c>
      <c r="F368" s="82">
        <v>4.25</v>
      </c>
      <c r="G368" s="82">
        <f t="shared" ref="G368:G369" si="15">E368*F368</f>
        <v>1.1475</v>
      </c>
    </row>
    <row r="369" spans="1:8" ht="18" x14ac:dyDescent="0.25">
      <c r="A369" s="88"/>
      <c r="B369" s="80" t="s">
        <v>438</v>
      </c>
      <c r="C369" s="41" t="s">
        <v>35</v>
      </c>
      <c r="D369" s="41" t="s">
        <v>48</v>
      </c>
      <c r="E369" s="81">
        <v>0.15</v>
      </c>
      <c r="F369" s="82">
        <v>6.82</v>
      </c>
      <c r="G369" s="82">
        <f t="shared" si="15"/>
        <v>1.0229999999999999</v>
      </c>
    </row>
    <row r="370" spans="1:8" x14ac:dyDescent="0.25">
      <c r="A370" s="88"/>
      <c r="B370" s="95" t="s">
        <v>395</v>
      </c>
      <c r="C370" s="41" t="s">
        <v>37</v>
      </c>
      <c r="D370" s="41" t="s">
        <v>38</v>
      </c>
      <c r="E370" s="81">
        <v>0.3</v>
      </c>
      <c r="F370" s="82">
        <v>5.6</v>
      </c>
      <c r="G370" s="82">
        <f>E370*F370</f>
        <v>1.68</v>
      </c>
    </row>
    <row r="371" spans="1:8" x14ac:dyDescent="0.25">
      <c r="A371" s="89"/>
      <c r="B371" s="95" t="s">
        <v>396</v>
      </c>
      <c r="C371" s="41" t="s">
        <v>37</v>
      </c>
      <c r="D371" s="41" t="s">
        <v>38</v>
      </c>
      <c r="E371" s="81">
        <v>0.3</v>
      </c>
      <c r="F371" s="82">
        <v>4.47</v>
      </c>
      <c r="G371" s="82">
        <f>E371*F371</f>
        <v>1.341</v>
      </c>
    </row>
    <row r="372" spans="1:8" x14ac:dyDescent="0.25">
      <c r="A372" s="18"/>
      <c r="B372" s="40"/>
      <c r="C372" s="41"/>
      <c r="D372" s="41"/>
      <c r="E372" s="42"/>
      <c r="F372" s="43"/>
      <c r="G372" s="50"/>
    </row>
    <row r="373" spans="1:8" x14ac:dyDescent="0.25">
      <c r="A373" s="295" t="s">
        <v>39</v>
      </c>
      <c r="B373" s="295"/>
      <c r="C373" s="295"/>
      <c r="D373" s="295"/>
      <c r="E373" s="295"/>
      <c r="F373" s="295"/>
      <c r="G373" s="90">
        <f>SUM(G370:G371)</f>
        <v>3.0209999999999999</v>
      </c>
    </row>
    <row r="374" spans="1:8" x14ac:dyDescent="0.25">
      <c r="A374" s="295" t="s">
        <v>40</v>
      </c>
      <c r="B374" s="295"/>
      <c r="C374" s="295"/>
      <c r="D374" s="295"/>
      <c r="E374" s="295"/>
      <c r="F374" s="295"/>
      <c r="G374" s="90">
        <f>SUM(G367:G369)</f>
        <v>10.458500000000001</v>
      </c>
    </row>
    <row r="375" spans="1:8" x14ac:dyDescent="0.25">
      <c r="A375" s="295" t="s">
        <v>41</v>
      </c>
      <c r="B375" s="295"/>
      <c r="C375" s="295"/>
      <c r="D375" s="295"/>
      <c r="E375" s="295"/>
      <c r="F375" s="44">
        <f>E9</f>
        <v>0.86599999999999999</v>
      </c>
      <c r="G375" s="90">
        <f>(F375)*G373</f>
        <v>2.6161859999999999</v>
      </c>
    </row>
    <row r="376" spans="1:8" x14ac:dyDescent="0.25">
      <c r="A376" s="295" t="s">
        <v>42</v>
      </c>
      <c r="B376" s="295"/>
      <c r="C376" s="295"/>
      <c r="D376" s="295"/>
      <c r="E376" s="295"/>
      <c r="F376" s="44">
        <f>G10</f>
        <v>0.28349999999999997</v>
      </c>
      <c r="G376" s="90">
        <f>SUM(G373,G374,G375)*F376</f>
        <v>4.5631269809999999</v>
      </c>
    </row>
    <row r="377" spans="1:8" x14ac:dyDescent="0.25">
      <c r="A377" s="295" t="s">
        <v>43</v>
      </c>
      <c r="B377" s="295"/>
      <c r="C377" s="295"/>
      <c r="D377" s="295"/>
      <c r="E377" s="295"/>
      <c r="F377" s="295"/>
      <c r="G377" s="90">
        <f>SUM(G373:G376)</f>
        <v>20.658812981000001</v>
      </c>
    </row>
    <row r="378" spans="1:8" x14ac:dyDescent="0.25">
      <c r="A378" s="295" t="s">
        <v>44</v>
      </c>
      <c r="B378" s="295"/>
      <c r="C378" s="295"/>
      <c r="D378" s="295"/>
      <c r="E378" s="295"/>
      <c r="F378" s="295"/>
      <c r="G378" s="91">
        <f>TRUNC(G376+G377,2)</f>
        <v>25.22</v>
      </c>
      <c r="H378" s="17">
        <v>25.27</v>
      </c>
    </row>
    <row r="379" spans="1:8" x14ac:dyDescent="0.25">
      <c r="A379" s="46"/>
      <c r="B379" s="46"/>
      <c r="C379" s="46"/>
      <c r="D379" s="46"/>
      <c r="E379" s="46"/>
      <c r="F379" s="46"/>
      <c r="G379" s="47"/>
    </row>
    <row r="380" spans="1:8" x14ac:dyDescent="0.25">
      <c r="A380" s="46"/>
      <c r="B380" s="196" t="s">
        <v>45</v>
      </c>
      <c r="C380" s="296" t="s">
        <v>59</v>
      </c>
      <c r="D380" s="296"/>
      <c r="E380" s="296"/>
      <c r="F380" s="46"/>
      <c r="G380" s="47"/>
    </row>
    <row r="381" spans="1:8" x14ac:dyDescent="0.25">
      <c r="A381" s="46"/>
      <c r="B381" s="196" t="s">
        <v>46</v>
      </c>
      <c r="C381" s="297" t="s">
        <v>60</v>
      </c>
      <c r="D381" s="297"/>
      <c r="E381" s="297"/>
      <c r="F381" s="46"/>
      <c r="G381" s="47"/>
    </row>
    <row r="382" spans="1:8" x14ac:dyDescent="0.25">
      <c r="B382" s="196"/>
      <c r="C382" s="195"/>
      <c r="D382" s="195"/>
      <c r="E382" s="195"/>
    </row>
    <row r="383" spans="1:8" x14ac:dyDescent="0.25">
      <c r="A383" s="38" t="s">
        <v>263</v>
      </c>
      <c r="B383" s="39" t="s">
        <v>361</v>
      </c>
      <c r="C383" s="20" t="s">
        <v>50</v>
      </c>
      <c r="D383" s="35" t="s">
        <v>36</v>
      </c>
      <c r="E383" s="21" t="s">
        <v>51</v>
      </c>
      <c r="F383" s="22" t="s">
        <v>52</v>
      </c>
      <c r="G383" s="22" t="s">
        <v>49</v>
      </c>
    </row>
    <row r="384" spans="1:8" x14ac:dyDescent="0.25">
      <c r="A384" s="18"/>
      <c r="B384" s="80" t="s">
        <v>361</v>
      </c>
      <c r="C384" s="41" t="s">
        <v>35</v>
      </c>
      <c r="D384" s="41" t="s">
        <v>18</v>
      </c>
      <c r="E384" s="81">
        <v>1</v>
      </c>
      <c r="F384" s="82">
        <f>G406</f>
        <v>160.44900000000001</v>
      </c>
      <c r="G384" s="82">
        <f>E384*F384</f>
        <v>160.44900000000001</v>
      </c>
    </row>
    <row r="385" spans="1:9" x14ac:dyDescent="0.25">
      <c r="A385" s="18"/>
      <c r="B385" s="95" t="s">
        <v>362</v>
      </c>
      <c r="C385" s="41" t="s">
        <v>37</v>
      </c>
      <c r="D385" s="41" t="s">
        <v>38</v>
      </c>
      <c r="E385" s="233">
        <v>2</v>
      </c>
      <c r="F385" s="82">
        <v>4.47</v>
      </c>
      <c r="G385" s="82">
        <f>E385*F385</f>
        <v>8.94</v>
      </c>
    </row>
    <row r="386" spans="1:9" x14ac:dyDescent="0.25">
      <c r="A386" s="18"/>
      <c r="B386" s="95" t="s">
        <v>363</v>
      </c>
      <c r="C386" s="41" t="s">
        <v>37</v>
      </c>
      <c r="D386" s="41" t="s">
        <v>38</v>
      </c>
      <c r="E386" s="233">
        <v>4</v>
      </c>
      <c r="F386" s="82">
        <v>5.6</v>
      </c>
      <c r="G386" s="82">
        <f>E386*F386</f>
        <v>22.4</v>
      </c>
    </row>
    <row r="387" spans="1:9" x14ac:dyDescent="0.25">
      <c r="A387" s="295" t="s">
        <v>39</v>
      </c>
      <c r="B387" s="295"/>
      <c r="C387" s="295"/>
      <c r="D387" s="295"/>
      <c r="E387" s="295"/>
      <c r="F387" s="295"/>
      <c r="G387" s="90">
        <f>SUM(G385:G386)</f>
        <v>31.339999999999996</v>
      </c>
    </row>
    <row r="388" spans="1:9" x14ac:dyDescent="0.25">
      <c r="A388" s="295" t="s">
        <v>65</v>
      </c>
      <c r="B388" s="295"/>
      <c r="C388" s="295"/>
      <c r="D388" s="295"/>
      <c r="E388" s="295"/>
      <c r="F388" s="295"/>
      <c r="G388" s="90">
        <v>0</v>
      </c>
    </row>
    <row r="389" spans="1:9" x14ac:dyDescent="0.25">
      <c r="A389" s="295" t="s">
        <v>40</v>
      </c>
      <c r="B389" s="295"/>
      <c r="C389" s="295"/>
      <c r="D389" s="295"/>
      <c r="E389" s="295"/>
      <c r="F389" s="295"/>
      <c r="G389" s="90">
        <f>SUM(G384:G384)</f>
        <v>160.44900000000001</v>
      </c>
    </row>
    <row r="390" spans="1:9" x14ac:dyDescent="0.25">
      <c r="A390" s="295" t="s">
        <v>41</v>
      </c>
      <c r="B390" s="295"/>
      <c r="C390" s="295"/>
      <c r="D390" s="295"/>
      <c r="E390" s="295"/>
      <c r="F390" s="44">
        <f>E9</f>
        <v>0.86599999999999999</v>
      </c>
      <c r="G390" s="90">
        <f>(F390)*G387</f>
        <v>27.140439999999998</v>
      </c>
    </row>
    <row r="391" spans="1:9" x14ac:dyDescent="0.25">
      <c r="A391" s="295" t="s">
        <v>42</v>
      </c>
      <c r="B391" s="295"/>
      <c r="C391" s="295"/>
      <c r="D391" s="295"/>
      <c r="E391" s="295"/>
      <c r="F391" s="44">
        <f>G10</f>
        <v>0.28349999999999997</v>
      </c>
      <c r="G391" s="90">
        <f>SUM(G387,G389,G390)*F391</f>
        <v>62.066496239999992</v>
      </c>
    </row>
    <row r="392" spans="1:9" x14ac:dyDescent="0.25">
      <c r="A392" s="295" t="s">
        <v>43</v>
      </c>
      <c r="B392" s="295"/>
      <c r="C392" s="295"/>
      <c r="D392" s="295"/>
      <c r="E392" s="295"/>
      <c r="F392" s="295"/>
      <c r="G392" s="90">
        <f>SUM(G387:G391)</f>
        <v>280.99593623999999</v>
      </c>
    </row>
    <row r="393" spans="1:9" x14ac:dyDescent="0.25">
      <c r="A393" s="295" t="s">
        <v>44</v>
      </c>
      <c r="B393" s="295"/>
      <c r="C393" s="295"/>
      <c r="D393" s="295"/>
      <c r="E393" s="295"/>
      <c r="F393" s="295"/>
      <c r="G393" s="91">
        <f>TRUNC(G391+G392,2)</f>
        <v>343.06</v>
      </c>
      <c r="H393" s="17">
        <v>343.06</v>
      </c>
      <c r="I393" s="25">
        <f>G393-H393</f>
        <v>0</v>
      </c>
    </row>
    <row r="394" spans="1:9" x14ac:dyDescent="0.25">
      <c r="A394" s="46"/>
      <c r="B394" s="250"/>
      <c r="C394" s="46"/>
      <c r="D394" s="46"/>
      <c r="E394" s="46"/>
      <c r="F394" s="46"/>
      <c r="G394" s="47"/>
      <c r="I394" s="25"/>
    </row>
    <row r="395" spans="1:9" ht="18" x14ac:dyDescent="0.25">
      <c r="A395" s="38">
        <v>83532</v>
      </c>
      <c r="B395" s="39" t="s">
        <v>365</v>
      </c>
      <c r="C395" s="20" t="s">
        <v>50</v>
      </c>
      <c r="D395" s="35" t="s">
        <v>36</v>
      </c>
      <c r="E395" s="21" t="s">
        <v>51</v>
      </c>
      <c r="F395" s="22" t="s">
        <v>52</v>
      </c>
      <c r="G395" s="22" t="s">
        <v>49</v>
      </c>
      <c r="I395" s="25"/>
    </row>
    <row r="396" spans="1:9" x14ac:dyDescent="0.25">
      <c r="A396" s="18"/>
      <c r="B396" s="80" t="s">
        <v>68</v>
      </c>
      <c r="C396" s="41" t="s">
        <v>35</v>
      </c>
      <c r="D396" s="41" t="s">
        <v>18</v>
      </c>
      <c r="E396" s="81">
        <v>0.6</v>
      </c>
      <c r="F396" s="82">
        <v>45</v>
      </c>
      <c r="G396" s="82">
        <f>E396*F396</f>
        <v>27</v>
      </c>
      <c r="I396" s="25"/>
    </row>
    <row r="397" spans="1:9" x14ac:dyDescent="0.25">
      <c r="A397" s="18"/>
      <c r="B397" s="80" t="s">
        <v>71</v>
      </c>
      <c r="C397" s="41" t="s">
        <v>35</v>
      </c>
      <c r="D397" s="41" t="s">
        <v>48</v>
      </c>
      <c r="E397" s="82">
        <v>150</v>
      </c>
      <c r="F397" s="82">
        <v>0.57999999999999996</v>
      </c>
      <c r="G397" s="82">
        <f t="shared" ref="G397:G400" si="16">E397*F397</f>
        <v>87</v>
      </c>
      <c r="I397" s="25"/>
    </row>
    <row r="398" spans="1:9" x14ac:dyDescent="0.25">
      <c r="A398" s="18"/>
      <c r="B398" s="80" t="s">
        <v>72</v>
      </c>
      <c r="C398" s="41" t="s">
        <v>35</v>
      </c>
      <c r="D398" s="41" t="s">
        <v>18</v>
      </c>
      <c r="E398" s="81">
        <v>0.4</v>
      </c>
      <c r="F398" s="82">
        <v>65.790000000000006</v>
      </c>
      <c r="G398" s="82">
        <f t="shared" si="16"/>
        <v>26.316000000000003</v>
      </c>
      <c r="I398" s="25"/>
    </row>
    <row r="399" spans="1:9" x14ac:dyDescent="0.25">
      <c r="A399" s="18"/>
      <c r="B399" s="80" t="s">
        <v>73</v>
      </c>
      <c r="C399" s="41" t="s">
        <v>35</v>
      </c>
      <c r="D399" s="41" t="s">
        <v>18</v>
      </c>
      <c r="E399" s="81">
        <v>0.215</v>
      </c>
      <c r="F399" s="82">
        <v>66</v>
      </c>
      <c r="G399" s="82">
        <f t="shared" si="16"/>
        <v>14.19</v>
      </c>
      <c r="I399" s="25"/>
    </row>
    <row r="400" spans="1:9" x14ac:dyDescent="0.25">
      <c r="A400" s="18"/>
      <c r="B400" s="80" t="s">
        <v>74</v>
      </c>
      <c r="C400" s="41" t="s">
        <v>64</v>
      </c>
      <c r="D400" s="41" t="s">
        <v>38</v>
      </c>
      <c r="E400" s="81">
        <v>0.4</v>
      </c>
      <c r="F400" s="82">
        <v>2.27</v>
      </c>
      <c r="G400" s="82">
        <f t="shared" si="16"/>
        <v>0.90800000000000003</v>
      </c>
      <c r="I400" s="25"/>
    </row>
    <row r="401" spans="1:9" x14ac:dyDescent="0.25">
      <c r="A401" s="18"/>
      <c r="B401" s="95" t="s">
        <v>362</v>
      </c>
      <c r="C401" s="41" t="s">
        <v>37</v>
      </c>
      <c r="D401" s="41" t="s">
        <v>38</v>
      </c>
      <c r="E401" s="233">
        <v>0.5</v>
      </c>
      <c r="F401" s="82">
        <v>4.47</v>
      </c>
      <c r="G401" s="82">
        <f>E401*F401</f>
        <v>2.2349999999999999</v>
      </c>
      <c r="I401" s="25"/>
    </row>
    <row r="402" spans="1:9" x14ac:dyDescent="0.25">
      <c r="A402" s="18"/>
      <c r="B402" s="95" t="s">
        <v>363</v>
      </c>
      <c r="C402" s="41" t="s">
        <v>37</v>
      </c>
      <c r="D402" s="41" t="s">
        <v>38</v>
      </c>
      <c r="E402" s="233">
        <v>0.5</v>
      </c>
      <c r="F402" s="82">
        <v>5.6</v>
      </c>
      <c r="G402" s="82">
        <f>E402*F402</f>
        <v>2.8</v>
      </c>
      <c r="I402" s="25"/>
    </row>
    <row r="403" spans="1:9" x14ac:dyDescent="0.25">
      <c r="A403" s="295" t="s">
        <v>39</v>
      </c>
      <c r="B403" s="295"/>
      <c r="C403" s="295"/>
      <c r="D403" s="295"/>
      <c r="E403" s="295"/>
      <c r="F403" s="295"/>
      <c r="G403" s="90">
        <f>SUM(G401:G402)</f>
        <v>5.0350000000000001</v>
      </c>
      <c r="I403" s="25"/>
    </row>
    <row r="404" spans="1:9" x14ac:dyDescent="0.25">
      <c r="A404" s="295" t="s">
        <v>65</v>
      </c>
      <c r="B404" s="295"/>
      <c r="C404" s="295"/>
      <c r="D404" s="295"/>
      <c r="E404" s="295"/>
      <c r="F404" s="295"/>
      <c r="G404" s="90">
        <f>SUM(G400)</f>
        <v>0.90800000000000003</v>
      </c>
      <c r="I404" s="25"/>
    </row>
    <row r="405" spans="1:9" x14ac:dyDescent="0.25">
      <c r="A405" s="295" t="s">
        <v>40</v>
      </c>
      <c r="B405" s="295"/>
      <c r="C405" s="295"/>
      <c r="D405" s="295"/>
      <c r="E405" s="295"/>
      <c r="F405" s="295"/>
      <c r="G405" s="90">
        <f>SUM(G396:G399)</f>
        <v>154.506</v>
      </c>
      <c r="I405" s="25"/>
    </row>
    <row r="406" spans="1:9" x14ac:dyDescent="0.25">
      <c r="A406" s="295" t="s">
        <v>364</v>
      </c>
      <c r="B406" s="295"/>
      <c r="C406" s="295"/>
      <c r="D406" s="295"/>
      <c r="E406" s="295"/>
      <c r="F406" s="295"/>
      <c r="G406" s="91">
        <f>SUM(G403:G405)</f>
        <v>160.44900000000001</v>
      </c>
      <c r="I406" s="25"/>
    </row>
    <row r="407" spans="1:9" x14ac:dyDescent="0.25">
      <c r="A407" s="46"/>
      <c r="B407" s="250"/>
      <c r="C407" s="46"/>
      <c r="D407" s="46"/>
      <c r="E407" s="46"/>
      <c r="F407" s="46"/>
      <c r="G407" s="47"/>
      <c r="I407" s="25"/>
    </row>
    <row r="408" spans="1:9" x14ac:dyDescent="0.25">
      <c r="A408" s="46"/>
      <c r="B408" s="197"/>
      <c r="C408" s="46"/>
      <c r="D408" s="46"/>
      <c r="E408" s="46"/>
      <c r="F408" s="46"/>
      <c r="G408" s="47"/>
    </row>
    <row r="409" spans="1:9" x14ac:dyDescent="0.25">
      <c r="A409" s="46"/>
      <c r="B409" s="196" t="s">
        <v>45</v>
      </c>
      <c r="C409" s="296" t="s">
        <v>59</v>
      </c>
      <c r="D409" s="296"/>
      <c r="E409" s="296"/>
      <c r="F409" s="46"/>
      <c r="G409" s="47"/>
    </row>
    <row r="410" spans="1:9" x14ac:dyDescent="0.25">
      <c r="A410" s="46"/>
      <c r="B410" s="196" t="s">
        <v>46</v>
      </c>
      <c r="C410" s="297" t="s">
        <v>60</v>
      </c>
      <c r="D410" s="297"/>
      <c r="E410" s="297"/>
      <c r="F410" s="46"/>
      <c r="G410" s="47"/>
    </row>
    <row r="411" spans="1:9" x14ac:dyDescent="0.25">
      <c r="B411" s="48"/>
      <c r="C411" s="74"/>
      <c r="D411" s="74"/>
      <c r="E411" s="74"/>
    </row>
    <row r="412" spans="1:9" ht="18" x14ac:dyDescent="0.25">
      <c r="A412" s="33" t="s">
        <v>264</v>
      </c>
      <c r="B412" s="19" t="s">
        <v>69</v>
      </c>
      <c r="C412" s="20" t="s">
        <v>50</v>
      </c>
      <c r="D412" s="20" t="s">
        <v>3</v>
      </c>
      <c r="E412" s="21" t="s">
        <v>51</v>
      </c>
      <c r="F412" s="22" t="s">
        <v>52</v>
      </c>
      <c r="G412" s="22" t="s">
        <v>49</v>
      </c>
    </row>
    <row r="413" spans="1:9" x14ac:dyDescent="0.25">
      <c r="A413" s="18"/>
      <c r="B413" s="95" t="s">
        <v>70</v>
      </c>
      <c r="C413" s="41" t="s">
        <v>35</v>
      </c>
      <c r="D413" s="41" t="s">
        <v>18</v>
      </c>
      <c r="E413" s="113">
        <v>0.6</v>
      </c>
      <c r="F413" s="114">
        <v>45</v>
      </c>
      <c r="G413" s="114">
        <f>E413*F413</f>
        <v>27</v>
      </c>
    </row>
    <row r="414" spans="1:9" x14ac:dyDescent="0.25">
      <c r="A414" s="18"/>
      <c r="B414" s="95" t="s">
        <v>441</v>
      </c>
      <c r="C414" s="41" t="s">
        <v>35</v>
      </c>
      <c r="D414" s="24" t="s">
        <v>48</v>
      </c>
      <c r="E414" s="114">
        <v>349</v>
      </c>
      <c r="F414" s="114">
        <v>0.57999999999999996</v>
      </c>
      <c r="G414" s="114">
        <v>177.99</v>
      </c>
      <c r="I414" s="276"/>
    </row>
    <row r="415" spans="1:9" x14ac:dyDescent="0.25">
      <c r="A415" s="18"/>
      <c r="B415" s="95" t="s">
        <v>72</v>
      </c>
      <c r="C415" s="41" t="s">
        <v>35</v>
      </c>
      <c r="D415" s="24" t="s">
        <v>18</v>
      </c>
      <c r="E415" s="113">
        <v>0.2</v>
      </c>
      <c r="F415" s="114">
        <v>65.790000000000006</v>
      </c>
      <c r="G415" s="114">
        <f t="shared" ref="G415:G419" si="17">E415*F415</f>
        <v>13.158000000000001</v>
      </c>
    </row>
    <row r="416" spans="1:9" x14ac:dyDescent="0.25">
      <c r="A416" s="18"/>
      <c r="B416" s="95" t="s">
        <v>73</v>
      </c>
      <c r="C416" s="41" t="s">
        <v>35</v>
      </c>
      <c r="D416" s="24" t="s">
        <v>18</v>
      </c>
      <c r="E416" s="113">
        <v>0.4</v>
      </c>
      <c r="F416" s="114">
        <v>66</v>
      </c>
      <c r="G416" s="114">
        <f t="shared" si="17"/>
        <v>26.400000000000002</v>
      </c>
    </row>
    <row r="417" spans="1:11" ht="36" x14ac:dyDescent="0.25">
      <c r="A417" s="18"/>
      <c r="B417" s="95" t="s">
        <v>440</v>
      </c>
      <c r="C417" s="41" t="s">
        <v>35</v>
      </c>
      <c r="D417" s="24" t="s">
        <v>47</v>
      </c>
      <c r="E417" s="113">
        <v>1.8</v>
      </c>
      <c r="F417" s="114">
        <v>2.1</v>
      </c>
      <c r="G417" s="114">
        <f t="shared" si="17"/>
        <v>3.7800000000000002</v>
      </c>
    </row>
    <row r="418" spans="1:11" ht="18.75" customHeight="1" x14ac:dyDescent="0.25">
      <c r="A418" s="18"/>
      <c r="B418" s="95" t="s">
        <v>439</v>
      </c>
      <c r="C418" s="41" t="s">
        <v>37</v>
      </c>
      <c r="D418" s="24" t="s">
        <v>38</v>
      </c>
      <c r="E418" s="113">
        <v>0.4</v>
      </c>
      <c r="F418" s="114">
        <v>5.6</v>
      </c>
      <c r="G418" s="114">
        <f t="shared" si="17"/>
        <v>2.2399999999999998</v>
      </c>
    </row>
    <row r="419" spans="1:11" x14ac:dyDescent="0.25">
      <c r="A419" s="18"/>
      <c r="B419" s="95" t="s">
        <v>362</v>
      </c>
      <c r="C419" s="41" t="s">
        <v>37</v>
      </c>
      <c r="D419" s="24" t="s">
        <v>38</v>
      </c>
      <c r="E419" s="104">
        <v>0.4</v>
      </c>
      <c r="F419" s="99">
        <v>4.47</v>
      </c>
      <c r="G419" s="114">
        <f t="shared" si="17"/>
        <v>1.788</v>
      </c>
    </row>
    <row r="420" spans="1:11" x14ac:dyDescent="0.25">
      <c r="A420" s="18"/>
      <c r="B420" s="40"/>
      <c r="C420" s="41"/>
      <c r="D420" s="41"/>
      <c r="E420" s="49"/>
      <c r="F420" s="50"/>
      <c r="G420" s="50"/>
    </row>
    <row r="421" spans="1:11" x14ac:dyDescent="0.25">
      <c r="A421" s="295" t="s">
        <v>39</v>
      </c>
      <c r="B421" s="295"/>
      <c r="C421" s="295"/>
      <c r="D421" s="295"/>
      <c r="E421" s="295"/>
      <c r="F421" s="295"/>
      <c r="G421" s="90">
        <f>SUM(G418:G419)</f>
        <v>4.0279999999999996</v>
      </c>
    </row>
    <row r="422" spans="1:11" x14ac:dyDescent="0.25">
      <c r="A422" s="295" t="s">
        <v>65</v>
      </c>
      <c r="B422" s="295"/>
      <c r="C422" s="295"/>
      <c r="D422" s="295"/>
      <c r="E422" s="295"/>
      <c r="F422" s="295"/>
      <c r="G422" s="90">
        <f>SUM(G417)</f>
        <v>3.7800000000000002</v>
      </c>
    </row>
    <row r="423" spans="1:11" x14ac:dyDescent="0.25">
      <c r="A423" s="295" t="s">
        <v>40</v>
      </c>
      <c r="B423" s="295"/>
      <c r="C423" s="295"/>
      <c r="D423" s="295"/>
      <c r="E423" s="295"/>
      <c r="F423" s="295"/>
      <c r="G423" s="90">
        <f>SUM(G413:G416)</f>
        <v>244.54800000000003</v>
      </c>
      <c r="I423" s="17">
        <v>4400</v>
      </c>
      <c r="K423" s="276">
        <f>0.51*349</f>
        <v>177.99</v>
      </c>
    </row>
    <row r="424" spans="1:11" x14ac:dyDescent="0.25">
      <c r="A424" s="295" t="s">
        <v>41</v>
      </c>
      <c r="B424" s="295"/>
      <c r="C424" s="295"/>
      <c r="D424" s="295"/>
      <c r="E424" s="295"/>
      <c r="F424" s="44">
        <f>E9</f>
        <v>0.86599999999999999</v>
      </c>
      <c r="G424" s="90">
        <f>(F424)*G421</f>
        <v>3.4882479999999996</v>
      </c>
    </row>
    <row r="425" spans="1:11" x14ac:dyDescent="0.25">
      <c r="A425" s="295" t="s">
        <v>42</v>
      </c>
      <c r="B425" s="295"/>
      <c r="C425" s="295"/>
      <c r="D425" s="295"/>
      <c r="E425" s="295"/>
      <c r="F425" s="44">
        <f>G10</f>
        <v>0.28349999999999997</v>
      </c>
      <c r="G425" s="90">
        <f>SUM(G421,G423,G424)*F425</f>
        <v>71.460214308000005</v>
      </c>
    </row>
    <row r="426" spans="1:11" x14ac:dyDescent="0.25">
      <c r="A426" s="295" t="s">
        <v>43</v>
      </c>
      <c r="B426" s="295"/>
      <c r="C426" s="295"/>
      <c r="D426" s="295"/>
      <c r="E426" s="295"/>
      <c r="F426" s="295"/>
      <c r="G426" s="90">
        <f>SUM(G421:G425)</f>
        <v>327.30446230800004</v>
      </c>
    </row>
    <row r="427" spans="1:11" x14ac:dyDescent="0.25">
      <c r="A427" s="295" t="s">
        <v>44</v>
      </c>
      <c r="B427" s="295"/>
      <c r="C427" s="299"/>
      <c r="D427" s="299"/>
      <c r="E427" s="299"/>
      <c r="F427" s="295"/>
      <c r="G427" s="91">
        <f>TRUNC(G425+G426,2)</f>
        <v>398.76</v>
      </c>
      <c r="H427" s="17">
        <v>400.13</v>
      </c>
      <c r="I427" s="25">
        <f>G427-H427</f>
        <v>-1.3700000000000045</v>
      </c>
    </row>
    <row r="428" spans="1:11" x14ac:dyDescent="0.25">
      <c r="A428" s="46"/>
      <c r="B428" s="46"/>
      <c r="C428" s="46"/>
      <c r="D428" s="46"/>
      <c r="E428" s="46"/>
      <c r="F428" s="46"/>
      <c r="G428" s="241"/>
      <c r="I428" s="25"/>
    </row>
    <row r="429" spans="1:11" x14ac:dyDescent="0.25">
      <c r="A429" s="46"/>
      <c r="B429" s="46"/>
      <c r="C429" s="46"/>
      <c r="D429" s="46"/>
      <c r="E429" s="46"/>
      <c r="F429" s="46"/>
      <c r="G429" s="241"/>
      <c r="H429" s="45">
        <v>401.1</v>
      </c>
      <c r="I429" s="25"/>
    </row>
    <row r="430" spans="1:11" x14ac:dyDescent="0.25">
      <c r="A430" s="54"/>
      <c r="B430" s="48" t="s">
        <v>45</v>
      </c>
      <c r="C430" s="296" t="s">
        <v>59</v>
      </c>
      <c r="D430" s="296"/>
      <c r="E430" s="296"/>
      <c r="F430" s="54"/>
      <c r="G430" s="47"/>
    </row>
    <row r="431" spans="1:11" x14ac:dyDescent="0.25">
      <c r="A431" s="54"/>
      <c r="B431" s="48" t="s">
        <v>46</v>
      </c>
      <c r="C431" s="297" t="s">
        <v>60</v>
      </c>
      <c r="D431" s="297"/>
      <c r="E431" s="297"/>
      <c r="F431" s="54"/>
      <c r="G431" s="47"/>
    </row>
    <row r="432" spans="1:11" x14ac:dyDescent="0.25">
      <c r="A432" s="54"/>
      <c r="B432" s="196"/>
      <c r="C432" s="195"/>
      <c r="D432" s="195"/>
      <c r="E432" s="195"/>
      <c r="F432" s="54"/>
      <c r="G432" s="47"/>
    </row>
    <row r="433" spans="1:8" ht="18" x14ac:dyDescent="0.25">
      <c r="A433" s="38" t="s">
        <v>265</v>
      </c>
      <c r="B433" s="39" t="s">
        <v>75</v>
      </c>
      <c r="C433" s="20" t="s">
        <v>50</v>
      </c>
      <c r="D433" s="35" t="s">
        <v>36</v>
      </c>
      <c r="E433" s="21" t="s">
        <v>51</v>
      </c>
      <c r="F433" s="22" t="s">
        <v>52</v>
      </c>
      <c r="G433" s="22" t="s">
        <v>49</v>
      </c>
    </row>
    <row r="434" spans="1:8" ht="27" x14ac:dyDescent="0.25">
      <c r="A434" s="92"/>
      <c r="B434" s="238" t="s">
        <v>442</v>
      </c>
      <c r="C434" s="85" t="s">
        <v>64</v>
      </c>
      <c r="D434" s="85" t="s">
        <v>47</v>
      </c>
      <c r="E434" s="87">
        <v>0.1</v>
      </c>
      <c r="F434" s="87">
        <v>2.1</v>
      </c>
      <c r="G434" s="87">
        <f>E434*F434</f>
        <v>0.21000000000000002</v>
      </c>
    </row>
    <row r="435" spans="1:8" x14ac:dyDescent="0.25">
      <c r="A435" s="18"/>
      <c r="B435" s="111" t="s">
        <v>390</v>
      </c>
      <c r="C435" s="24" t="s">
        <v>37</v>
      </c>
      <c r="D435" s="24" t="s">
        <v>38</v>
      </c>
      <c r="E435" s="114">
        <v>1.3</v>
      </c>
      <c r="F435" s="114">
        <v>5.6</v>
      </c>
      <c r="G435" s="114">
        <f>E435*F435</f>
        <v>7.2799999999999994</v>
      </c>
    </row>
    <row r="436" spans="1:8" x14ac:dyDescent="0.25">
      <c r="A436" s="18"/>
      <c r="B436" s="111" t="s">
        <v>391</v>
      </c>
      <c r="C436" s="24" t="s">
        <v>37</v>
      </c>
      <c r="D436" s="24" t="s">
        <v>38</v>
      </c>
      <c r="E436" s="114">
        <v>2.6</v>
      </c>
      <c r="F436" s="114">
        <v>4.47</v>
      </c>
      <c r="G436" s="114">
        <f>E436*F436</f>
        <v>11.622</v>
      </c>
    </row>
    <row r="437" spans="1:8" x14ac:dyDescent="0.25">
      <c r="A437" s="18"/>
      <c r="B437" s="40"/>
      <c r="C437" s="41"/>
      <c r="D437" s="41"/>
      <c r="E437" s="42"/>
      <c r="F437" s="43"/>
      <c r="G437" s="43"/>
    </row>
    <row r="438" spans="1:8" x14ac:dyDescent="0.25">
      <c r="A438" s="295" t="s">
        <v>39</v>
      </c>
      <c r="B438" s="295"/>
      <c r="C438" s="295"/>
      <c r="D438" s="295"/>
      <c r="E438" s="295"/>
      <c r="F438" s="295"/>
      <c r="G438" s="90">
        <f>SUM(G435:G436)</f>
        <v>18.902000000000001</v>
      </c>
    </row>
    <row r="439" spans="1:8" x14ac:dyDescent="0.25">
      <c r="A439" s="295" t="s">
        <v>65</v>
      </c>
      <c r="B439" s="295"/>
      <c r="C439" s="295"/>
      <c r="D439" s="295"/>
      <c r="E439" s="295"/>
      <c r="F439" s="295"/>
      <c r="G439" s="90">
        <f>SUM(G434)</f>
        <v>0.21000000000000002</v>
      </c>
    </row>
    <row r="440" spans="1:8" x14ac:dyDescent="0.25">
      <c r="A440" s="295" t="s">
        <v>41</v>
      </c>
      <c r="B440" s="295"/>
      <c r="C440" s="295"/>
      <c r="D440" s="295"/>
      <c r="E440" s="295"/>
      <c r="F440" s="44">
        <f>E9</f>
        <v>0.86599999999999999</v>
      </c>
      <c r="G440" s="90">
        <f>(F440)*G438</f>
        <v>16.369132</v>
      </c>
      <c r="H440" s="17">
        <v>2.67</v>
      </c>
    </row>
    <row r="441" spans="1:8" x14ac:dyDescent="0.25">
      <c r="A441" s="295" t="s">
        <v>42</v>
      </c>
      <c r="B441" s="295"/>
      <c r="C441" s="295"/>
      <c r="D441" s="295"/>
      <c r="E441" s="295"/>
      <c r="F441" s="44">
        <f>G10</f>
        <v>0.28349999999999997</v>
      </c>
      <c r="G441" s="90">
        <f>SUM(G438,G439,G440)*F441</f>
        <v>10.058900921999999</v>
      </c>
    </row>
    <row r="442" spans="1:8" x14ac:dyDescent="0.25">
      <c r="A442" s="295" t="s">
        <v>43</v>
      </c>
      <c r="B442" s="295"/>
      <c r="C442" s="295"/>
      <c r="D442" s="295"/>
      <c r="E442" s="295"/>
      <c r="F442" s="295"/>
      <c r="G442" s="90">
        <f>SUM(G438:G441)</f>
        <v>45.540032922000002</v>
      </c>
    </row>
    <row r="443" spans="1:8" x14ac:dyDescent="0.25">
      <c r="A443" s="295" t="s">
        <v>44</v>
      </c>
      <c r="B443" s="295"/>
      <c r="C443" s="295"/>
      <c r="D443" s="295"/>
      <c r="E443" s="295"/>
      <c r="F443" s="295"/>
      <c r="G443" s="91">
        <f>TRUNC(G441+G442,2)+0.01</f>
        <v>55.6</v>
      </c>
      <c r="H443" s="17">
        <v>159.49</v>
      </c>
    </row>
    <row r="444" spans="1:8" x14ac:dyDescent="0.25">
      <c r="A444" s="46"/>
      <c r="B444" s="46"/>
      <c r="C444" s="46"/>
      <c r="D444" s="46"/>
      <c r="E444" s="46"/>
      <c r="F444" s="46"/>
      <c r="G444" s="47"/>
    </row>
    <row r="445" spans="1:8" x14ac:dyDescent="0.25">
      <c r="A445" s="46"/>
      <c r="B445" s="48" t="s">
        <v>45</v>
      </c>
      <c r="C445" s="296" t="s">
        <v>59</v>
      </c>
      <c r="D445" s="296"/>
      <c r="E445" s="296"/>
      <c r="F445" s="46"/>
      <c r="G445" s="47"/>
    </row>
    <row r="446" spans="1:8" x14ac:dyDescent="0.25">
      <c r="A446" s="46"/>
      <c r="B446" s="48" t="s">
        <v>46</v>
      </c>
      <c r="C446" s="297" t="s">
        <v>60</v>
      </c>
      <c r="D446" s="297"/>
      <c r="E446" s="297"/>
      <c r="F446" s="46"/>
      <c r="G446" s="47"/>
    </row>
    <row r="447" spans="1:8" x14ac:dyDescent="0.25">
      <c r="A447" s="46"/>
      <c r="B447" s="196"/>
      <c r="C447" s="195"/>
      <c r="D447" s="195"/>
      <c r="E447" s="195"/>
      <c r="F447" s="46"/>
      <c r="G447" s="47"/>
    </row>
    <row r="448" spans="1:8" ht="36" x14ac:dyDescent="0.25">
      <c r="A448" s="33" t="s">
        <v>266</v>
      </c>
      <c r="B448" s="39" t="s">
        <v>311</v>
      </c>
      <c r="C448" s="20" t="s">
        <v>50</v>
      </c>
      <c r="D448" s="35" t="s">
        <v>36</v>
      </c>
      <c r="E448" s="21" t="s">
        <v>51</v>
      </c>
      <c r="F448" s="22" t="s">
        <v>52</v>
      </c>
      <c r="G448" s="22" t="s">
        <v>49</v>
      </c>
    </row>
    <row r="449" spans="1:8" ht="27" x14ac:dyDescent="0.25">
      <c r="A449" s="83"/>
      <c r="B449" s="84" t="s">
        <v>444</v>
      </c>
      <c r="C449" s="85" t="s">
        <v>35</v>
      </c>
      <c r="D449" s="85" t="s">
        <v>15</v>
      </c>
      <c r="E449" s="86">
        <v>0.621</v>
      </c>
      <c r="F449" s="87">
        <v>28</v>
      </c>
      <c r="G449" s="87">
        <f>E449*F449</f>
        <v>17.387999999999998</v>
      </c>
    </row>
    <row r="450" spans="1:8" ht="18" x14ac:dyDescent="0.25">
      <c r="A450" s="88"/>
      <c r="B450" s="80" t="s">
        <v>445</v>
      </c>
      <c r="C450" s="41" t="s">
        <v>35</v>
      </c>
      <c r="D450" s="41" t="s">
        <v>12</v>
      </c>
      <c r="E450" s="81">
        <v>3.6</v>
      </c>
      <c r="F450" s="82">
        <v>2.68</v>
      </c>
      <c r="G450" s="82">
        <f>E450*F450</f>
        <v>9.6480000000000015</v>
      </c>
    </row>
    <row r="451" spans="1:8" ht="27" x14ac:dyDescent="0.25">
      <c r="A451" s="88"/>
      <c r="B451" s="80" t="s">
        <v>446</v>
      </c>
      <c r="C451" s="41" t="s">
        <v>35</v>
      </c>
      <c r="D451" s="41" t="s">
        <v>67</v>
      </c>
      <c r="E451" s="81">
        <v>0.01</v>
      </c>
      <c r="F451" s="82">
        <v>4.5599999999999996</v>
      </c>
      <c r="G451" s="82">
        <f t="shared" ref="G451:G452" si="18">E451*F451</f>
        <v>4.5599999999999995E-2</v>
      </c>
    </row>
    <row r="452" spans="1:8" ht="18" x14ac:dyDescent="0.25">
      <c r="A452" s="88"/>
      <c r="B452" s="80" t="s">
        <v>447</v>
      </c>
      <c r="C452" s="41" t="s">
        <v>35</v>
      </c>
      <c r="D452" s="41" t="s">
        <v>48</v>
      </c>
      <c r="E452" s="81">
        <v>3.3000000000000002E-2</v>
      </c>
      <c r="F452" s="82">
        <v>8.5</v>
      </c>
      <c r="G452" s="82">
        <f t="shared" si="18"/>
        <v>0.28050000000000003</v>
      </c>
    </row>
    <row r="453" spans="1:8" x14ac:dyDescent="0.25">
      <c r="A453" s="88"/>
      <c r="B453" s="95" t="s">
        <v>395</v>
      </c>
      <c r="C453" s="41" t="s">
        <v>37</v>
      </c>
      <c r="D453" s="41" t="s">
        <v>38</v>
      </c>
      <c r="E453" s="81">
        <v>0.6</v>
      </c>
      <c r="F453" s="82">
        <v>5.6</v>
      </c>
      <c r="G453" s="82">
        <f>E453*F453</f>
        <v>3.36</v>
      </c>
    </row>
    <row r="454" spans="1:8" ht="18" x14ac:dyDescent="0.25">
      <c r="A454" s="89"/>
      <c r="B454" s="95" t="s">
        <v>443</v>
      </c>
      <c r="C454" s="41" t="s">
        <v>37</v>
      </c>
      <c r="D454" s="41" t="s">
        <v>38</v>
      </c>
      <c r="E454" s="81">
        <v>0.3</v>
      </c>
      <c r="F454" s="82">
        <v>4.47</v>
      </c>
      <c r="G454" s="82">
        <f>E454*F454</f>
        <v>1.341</v>
      </c>
    </row>
    <row r="455" spans="1:8" x14ac:dyDescent="0.25">
      <c r="A455" s="18"/>
      <c r="B455" s="40"/>
      <c r="C455" s="41"/>
      <c r="D455" s="41"/>
      <c r="E455" s="42"/>
      <c r="F455" s="43"/>
      <c r="G455" s="50"/>
    </row>
    <row r="456" spans="1:8" x14ac:dyDescent="0.25">
      <c r="A456" s="295" t="s">
        <v>39</v>
      </c>
      <c r="B456" s="295"/>
      <c r="C456" s="295"/>
      <c r="D456" s="295"/>
      <c r="E456" s="295"/>
      <c r="F456" s="295"/>
      <c r="G456" s="90">
        <f>SUM(G453:G454)</f>
        <v>4.7009999999999996</v>
      </c>
    </row>
    <row r="457" spans="1:8" x14ac:dyDescent="0.25">
      <c r="A457" s="295" t="s">
        <v>40</v>
      </c>
      <c r="B457" s="295"/>
      <c r="C457" s="295"/>
      <c r="D457" s="295"/>
      <c r="E457" s="295"/>
      <c r="F457" s="295"/>
      <c r="G457" s="90">
        <f>SUM(G449:G452)</f>
        <v>27.362100000000002</v>
      </c>
    </row>
    <row r="458" spans="1:8" x14ac:dyDescent="0.25">
      <c r="A458" s="295" t="s">
        <v>41</v>
      </c>
      <c r="B458" s="295"/>
      <c r="C458" s="295"/>
      <c r="D458" s="295"/>
      <c r="E458" s="295"/>
      <c r="F458" s="44">
        <f>E9</f>
        <v>0.86599999999999999</v>
      </c>
      <c r="G458" s="90">
        <f>(F458)*G456</f>
        <v>4.0710660000000001</v>
      </c>
    </row>
    <row r="459" spans="1:8" x14ac:dyDescent="0.25">
      <c r="A459" s="295" t="s">
        <v>42</v>
      </c>
      <c r="B459" s="295"/>
      <c r="C459" s="295"/>
      <c r="D459" s="295"/>
      <c r="E459" s="295"/>
      <c r="F459" s="44">
        <f>G10</f>
        <v>0.28349999999999997</v>
      </c>
      <c r="G459" s="90">
        <f>SUM(G456,G457,G458)*F459</f>
        <v>10.244036060999999</v>
      </c>
    </row>
    <row r="460" spans="1:8" x14ac:dyDescent="0.25">
      <c r="A460" s="295" t="s">
        <v>43</v>
      </c>
      <c r="B460" s="295"/>
      <c r="C460" s="295"/>
      <c r="D460" s="295"/>
      <c r="E460" s="295"/>
      <c r="F460" s="295"/>
      <c r="G460" s="90">
        <f>SUM(G456:G459)</f>
        <v>46.378202060999996</v>
      </c>
      <c r="H460" s="17">
        <v>59.42</v>
      </c>
    </row>
    <row r="461" spans="1:8" x14ac:dyDescent="0.25">
      <c r="A461" s="295" t="s">
        <v>44</v>
      </c>
      <c r="B461" s="295"/>
      <c r="C461" s="295"/>
      <c r="D461" s="295"/>
      <c r="E461" s="295"/>
      <c r="F461" s="295"/>
      <c r="G461" s="91">
        <f>TRUNC(G459+G460,2)</f>
        <v>56.62</v>
      </c>
      <c r="H461" s="17">
        <v>21.48</v>
      </c>
    </row>
    <row r="462" spans="1:8" x14ac:dyDescent="0.25">
      <c r="A462" s="46"/>
      <c r="B462" s="46"/>
      <c r="C462" s="46"/>
      <c r="D462" s="46"/>
      <c r="E462" s="46"/>
      <c r="F462" s="46"/>
      <c r="G462" s="47"/>
    </row>
    <row r="463" spans="1:8" x14ac:dyDescent="0.25">
      <c r="A463" s="46"/>
      <c r="B463" s="196" t="s">
        <v>45</v>
      </c>
      <c r="C463" s="296" t="s">
        <v>59</v>
      </c>
      <c r="D463" s="296"/>
      <c r="E463" s="296"/>
      <c r="F463" s="46"/>
      <c r="G463" s="47"/>
    </row>
    <row r="464" spans="1:8" x14ac:dyDescent="0.25">
      <c r="A464" s="46"/>
      <c r="B464" s="196" t="s">
        <v>46</v>
      </c>
      <c r="C464" s="297" t="s">
        <v>60</v>
      </c>
      <c r="D464" s="297"/>
      <c r="E464" s="297"/>
      <c r="F464" s="46"/>
      <c r="G464" s="47"/>
    </row>
    <row r="465" spans="1:9" x14ac:dyDescent="0.25">
      <c r="A465" s="46"/>
      <c r="B465" s="196"/>
      <c r="C465" s="195"/>
      <c r="D465" s="195"/>
      <c r="E465" s="195"/>
      <c r="F465" s="46"/>
      <c r="G465" s="47"/>
    </row>
    <row r="466" spans="1:9" ht="54" x14ac:dyDescent="0.25">
      <c r="A466" s="33" t="s">
        <v>267</v>
      </c>
      <c r="B466" s="274" t="s">
        <v>449</v>
      </c>
      <c r="C466" s="20" t="s">
        <v>50</v>
      </c>
      <c r="D466" s="35" t="s">
        <v>36</v>
      </c>
      <c r="E466" s="21" t="s">
        <v>51</v>
      </c>
      <c r="F466" s="22" t="s">
        <v>52</v>
      </c>
      <c r="G466" s="22" t="s">
        <v>49</v>
      </c>
    </row>
    <row r="467" spans="1:9" ht="27" x14ac:dyDescent="0.25">
      <c r="A467" s="92"/>
      <c r="B467" s="238" t="s">
        <v>448</v>
      </c>
      <c r="C467" s="85" t="s">
        <v>35</v>
      </c>
      <c r="D467" s="85" t="s">
        <v>48</v>
      </c>
      <c r="E467" s="86">
        <v>1.1000000000000001</v>
      </c>
      <c r="F467" s="87">
        <v>4.7</v>
      </c>
      <c r="G467" s="87">
        <f>E467*F467</f>
        <v>5.1700000000000008</v>
      </c>
    </row>
    <row r="468" spans="1:9" x14ac:dyDescent="0.25">
      <c r="A468" s="18"/>
      <c r="B468" s="80" t="s">
        <v>425</v>
      </c>
      <c r="C468" s="41" t="s">
        <v>35</v>
      </c>
      <c r="D468" s="41" t="s">
        <v>9</v>
      </c>
      <c r="E468" s="81">
        <v>0.74</v>
      </c>
      <c r="F468" s="82">
        <v>9.2999999999999999E-2</v>
      </c>
      <c r="G468" s="82">
        <f>E468*F468</f>
        <v>6.8819999999999992E-2</v>
      </c>
    </row>
    <row r="469" spans="1:9" x14ac:dyDescent="0.25">
      <c r="A469" s="89"/>
      <c r="B469" s="94" t="s">
        <v>426</v>
      </c>
      <c r="C469" s="41" t="s">
        <v>35</v>
      </c>
      <c r="D469" s="41" t="s">
        <v>48</v>
      </c>
      <c r="E469" s="81">
        <v>1.2E-2</v>
      </c>
      <c r="F469" s="82">
        <v>8.5</v>
      </c>
      <c r="G469" s="82">
        <f>E469*F469</f>
        <v>0.10200000000000001</v>
      </c>
    </row>
    <row r="470" spans="1:9" x14ac:dyDescent="0.25">
      <c r="A470" s="89"/>
      <c r="B470" s="94" t="s">
        <v>392</v>
      </c>
      <c r="C470" s="41" t="s">
        <v>37</v>
      </c>
      <c r="D470" s="41" t="s">
        <v>38</v>
      </c>
      <c r="E470" s="81">
        <v>0.03</v>
      </c>
      <c r="F470" s="82">
        <v>5.6</v>
      </c>
      <c r="G470" s="82">
        <f>E470*F470</f>
        <v>0.16799999999999998</v>
      </c>
    </row>
    <row r="471" spans="1:9" ht="18" x14ac:dyDescent="0.25">
      <c r="A471" s="89"/>
      <c r="B471" s="95" t="s">
        <v>393</v>
      </c>
      <c r="C471" s="41" t="s">
        <v>37</v>
      </c>
      <c r="D471" s="41" t="s">
        <v>38</v>
      </c>
      <c r="E471" s="81">
        <v>0.03</v>
      </c>
      <c r="F471" s="82">
        <v>4.4740000000000002</v>
      </c>
      <c r="G471" s="82">
        <f>E471*F471</f>
        <v>0.13422000000000001</v>
      </c>
    </row>
    <row r="472" spans="1:9" x14ac:dyDescent="0.25">
      <c r="A472" s="18"/>
      <c r="B472" s="40"/>
      <c r="C472" s="41"/>
      <c r="D472" s="41"/>
      <c r="E472" s="42"/>
      <c r="F472" s="43"/>
      <c r="G472" s="43"/>
    </row>
    <row r="473" spans="1:9" x14ac:dyDescent="0.25">
      <c r="A473" s="295" t="s">
        <v>39</v>
      </c>
      <c r="B473" s="295"/>
      <c r="C473" s="295"/>
      <c r="D473" s="295"/>
      <c r="E473" s="295"/>
      <c r="F473" s="295"/>
      <c r="G473" s="90">
        <f>SUM(G470:G471)</f>
        <v>0.30221999999999999</v>
      </c>
    </row>
    <row r="474" spans="1:9" x14ac:dyDescent="0.25">
      <c r="A474" s="295" t="s">
        <v>40</v>
      </c>
      <c r="B474" s="295"/>
      <c r="C474" s="295"/>
      <c r="D474" s="295"/>
      <c r="E474" s="295"/>
      <c r="F474" s="295"/>
      <c r="G474" s="90">
        <f>SUM(G467:G469)</f>
        <v>5.3408200000000008</v>
      </c>
    </row>
    <row r="475" spans="1:9" x14ac:dyDescent="0.25">
      <c r="A475" s="295" t="s">
        <v>41</v>
      </c>
      <c r="B475" s="295"/>
      <c r="C475" s="295"/>
      <c r="D475" s="295"/>
      <c r="E475" s="295"/>
      <c r="F475" s="44">
        <f>E9</f>
        <v>0.86599999999999999</v>
      </c>
      <c r="G475" s="90">
        <f>(F475)*G473</f>
        <v>0.26172252000000001</v>
      </c>
    </row>
    <row r="476" spans="1:9" x14ac:dyDescent="0.25">
      <c r="A476" s="295" t="s">
        <v>42</v>
      </c>
      <c r="B476" s="295"/>
      <c r="C476" s="295"/>
      <c r="D476" s="295"/>
      <c r="E476" s="295"/>
      <c r="F476" s="44">
        <f>G10</f>
        <v>0.28349999999999997</v>
      </c>
      <c r="G476" s="90">
        <f>SUM(G473,G474,G475)*F476</f>
        <v>1.6740001744200002</v>
      </c>
    </row>
    <row r="477" spans="1:9" x14ac:dyDescent="0.25">
      <c r="A477" s="295" t="s">
        <v>43</v>
      </c>
      <c r="B477" s="295"/>
      <c r="C477" s="295"/>
      <c r="D477" s="295"/>
      <c r="E477" s="295"/>
      <c r="F477" s="295"/>
      <c r="G477" s="90">
        <f>SUM(G473:G476)</f>
        <v>7.5787626944200017</v>
      </c>
    </row>
    <row r="478" spans="1:9" x14ac:dyDescent="0.25">
      <c r="A478" s="295" t="s">
        <v>44</v>
      </c>
      <c r="B478" s="295"/>
      <c r="C478" s="295"/>
      <c r="D478" s="295"/>
      <c r="E478" s="295"/>
      <c r="F478" s="295"/>
      <c r="G478" s="91">
        <f>TRUNC(G476+G477,2)+0.01</f>
        <v>9.26</v>
      </c>
      <c r="H478" s="17">
        <v>9.26</v>
      </c>
      <c r="I478" s="25">
        <f>G478-H478</f>
        <v>0</v>
      </c>
    </row>
    <row r="479" spans="1:9" x14ac:dyDescent="0.25">
      <c r="A479" s="46"/>
      <c r="B479" s="46"/>
      <c r="C479" s="46"/>
      <c r="D479" s="46"/>
      <c r="E479" s="46"/>
      <c r="F479" s="46"/>
      <c r="G479" s="47"/>
    </row>
    <row r="480" spans="1:9" x14ac:dyDescent="0.25">
      <c r="A480" s="46"/>
      <c r="B480" s="196" t="s">
        <v>45</v>
      </c>
      <c r="C480" s="296" t="s">
        <v>59</v>
      </c>
      <c r="D480" s="296"/>
      <c r="E480" s="296"/>
      <c r="F480" s="46"/>
      <c r="G480" s="47"/>
    </row>
    <row r="481" spans="1:9" x14ac:dyDescent="0.25">
      <c r="A481" s="46"/>
      <c r="B481" s="196" t="s">
        <v>46</v>
      </c>
      <c r="C481" s="297" t="s">
        <v>60</v>
      </c>
      <c r="D481" s="297"/>
      <c r="E481" s="297"/>
      <c r="F481" s="46"/>
      <c r="G481" s="47"/>
    </row>
    <row r="482" spans="1:9" x14ac:dyDescent="0.25">
      <c r="A482" s="46"/>
      <c r="B482" s="196"/>
      <c r="C482" s="195"/>
      <c r="D482" s="195"/>
      <c r="E482" s="195"/>
      <c r="F482" s="46"/>
      <c r="G482" s="47"/>
    </row>
    <row r="483" spans="1:9" ht="54" x14ac:dyDescent="0.25">
      <c r="A483" s="33" t="s">
        <v>268</v>
      </c>
      <c r="B483" s="274" t="s">
        <v>450</v>
      </c>
      <c r="C483" s="20" t="s">
        <v>50</v>
      </c>
      <c r="D483" s="35" t="s">
        <v>36</v>
      </c>
      <c r="E483" s="21" t="s">
        <v>51</v>
      </c>
      <c r="F483" s="22" t="s">
        <v>52</v>
      </c>
      <c r="G483" s="22" t="s">
        <v>49</v>
      </c>
    </row>
    <row r="484" spans="1:9" ht="27" x14ac:dyDescent="0.25">
      <c r="A484" s="92"/>
      <c r="B484" s="238" t="s">
        <v>432</v>
      </c>
      <c r="C484" s="85" t="s">
        <v>35</v>
      </c>
      <c r="D484" s="85" t="s">
        <v>48</v>
      </c>
      <c r="E484" s="86">
        <v>1.1000000000000001</v>
      </c>
      <c r="F484" s="87">
        <v>2.85</v>
      </c>
      <c r="G484" s="87">
        <f>E484*F484</f>
        <v>3.1350000000000002</v>
      </c>
    </row>
    <row r="485" spans="1:9" x14ac:dyDescent="0.25">
      <c r="A485" s="18"/>
      <c r="B485" s="80" t="s">
        <v>425</v>
      </c>
      <c r="C485" s="41" t="s">
        <v>35</v>
      </c>
      <c r="D485" s="41" t="s">
        <v>9</v>
      </c>
      <c r="E485" s="81">
        <v>0.74</v>
      </c>
      <c r="F485" s="82">
        <v>9.2999999999999999E-2</v>
      </c>
      <c r="G485" s="82">
        <f>E485*F485</f>
        <v>6.8819999999999992E-2</v>
      </c>
    </row>
    <row r="486" spans="1:9" x14ac:dyDescent="0.25">
      <c r="A486" s="89"/>
      <c r="B486" s="94" t="s">
        <v>426</v>
      </c>
      <c r="C486" s="41" t="s">
        <v>35</v>
      </c>
      <c r="D486" s="41" t="s">
        <v>48</v>
      </c>
      <c r="E486" s="81">
        <v>1.2E-2</v>
      </c>
      <c r="F486" s="82">
        <v>8.5</v>
      </c>
      <c r="G486" s="82">
        <f>E486*F486</f>
        <v>0.10200000000000001</v>
      </c>
    </row>
    <row r="487" spans="1:9" x14ac:dyDescent="0.25">
      <c r="A487" s="89"/>
      <c r="B487" s="94" t="s">
        <v>392</v>
      </c>
      <c r="C487" s="41" t="s">
        <v>37</v>
      </c>
      <c r="D487" s="41" t="s">
        <v>38</v>
      </c>
      <c r="E487" s="81">
        <v>0.03</v>
      </c>
      <c r="F487" s="82">
        <v>5.6</v>
      </c>
      <c r="G487" s="82">
        <f>E487*F487</f>
        <v>0.16799999999999998</v>
      </c>
    </row>
    <row r="488" spans="1:9" ht="18" x14ac:dyDescent="0.25">
      <c r="A488" s="89"/>
      <c r="B488" s="95" t="s">
        <v>393</v>
      </c>
      <c r="C488" s="41" t="s">
        <v>37</v>
      </c>
      <c r="D488" s="41" t="s">
        <v>38</v>
      </c>
      <c r="E488" s="81">
        <v>0.03</v>
      </c>
      <c r="F488" s="82">
        <v>4.47</v>
      </c>
      <c r="G488" s="82">
        <f>E488*F488</f>
        <v>0.1341</v>
      </c>
    </row>
    <row r="489" spans="1:9" x14ac:dyDescent="0.25">
      <c r="A489" s="18"/>
      <c r="B489" s="40"/>
      <c r="C489" s="41"/>
      <c r="D489" s="41"/>
      <c r="E489" s="42"/>
      <c r="F489" s="43"/>
      <c r="G489" s="43"/>
    </row>
    <row r="490" spans="1:9" x14ac:dyDescent="0.25">
      <c r="A490" s="295" t="s">
        <v>39</v>
      </c>
      <c r="B490" s="295"/>
      <c r="C490" s="295"/>
      <c r="D490" s="295"/>
      <c r="E490" s="295"/>
      <c r="F490" s="295"/>
      <c r="G490" s="90">
        <f>SUM(G487:G488)</f>
        <v>0.30209999999999998</v>
      </c>
    </row>
    <row r="491" spans="1:9" x14ac:dyDescent="0.25">
      <c r="A491" s="295" t="s">
        <v>40</v>
      </c>
      <c r="B491" s="295"/>
      <c r="C491" s="295"/>
      <c r="D491" s="295"/>
      <c r="E491" s="295"/>
      <c r="F491" s="295"/>
      <c r="G491" s="90">
        <f>SUM(G484:G486)</f>
        <v>3.3058200000000002</v>
      </c>
    </row>
    <row r="492" spans="1:9" x14ac:dyDescent="0.25">
      <c r="A492" s="295" t="s">
        <v>41</v>
      </c>
      <c r="B492" s="295"/>
      <c r="C492" s="295"/>
      <c r="D492" s="295"/>
      <c r="E492" s="295"/>
      <c r="F492" s="44">
        <f>E9</f>
        <v>0.86599999999999999</v>
      </c>
      <c r="G492" s="90">
        <f>(F492)*G490</f>
        <v>0.26161859999999998</v>
      </c>
    </row>
    <row r="493" spans="1:9" x14ac:dyDescent="0.25">
      <c r="A493" s="295" t="s">
        <v>42</v>
      </c>
      <c r="B493" s="295"/>
      <c r="C493" s="295"/>
      <c r="D493" s="295"/>
      <c r="E493" s="295"/>
      <c r="F493" s="44">
        <f>G10</f>
        <v>0.28349999999999997</v>
      </c>
      <c r="G493" s="90">
        <f>SUM(G490,G491,G492)*F493</f>
        <v>1.0970141930999999</v>
      </c>
    </row>
    <row r="494" spans="1:9" x14ac:dyDescent="0.25">
      <c r="A494" s="295" t="s">
        <v>43</v>
      </c>
      <c r="B494" s="295"/>
      <c r="C494" s="295"/>
      <c r="D494" s="295"/>
      <c r="E494" s="295"/>
      <c r="F494" s="295"/>
      <c r="G494" s="90">
        <f>SUM(G490:G493)</f>
        <v>4.9665527931</v>
      </c>
    </row>
    <row r="495" spans="1:9" x14ac:dyDescent="0.25">
      <c r="A495" s="295" t="s">
        <v>44</v>
      </c>
      <c r="B495" s="295"/>
      <c r="C495" s="295"/>
      <c r="D495" s="295"/>
      <c r="E495" s="295"/>
      <c r="F495" s="295"/>
      <c r="G495" s="91">
        <f>TRUNC(G493+G494,2)+0.01</f>
        <v>6.0699999999999994</v>
      </c>
      <c r="H495" s="17">
        <v>6.07</v>
      </c>
      <c r="I495" s="25">
        <f>G495-H495</f>
        <v>0</v>
      </c>
    </row>
    <row r="496" spans="1:9" x14ac:dyDescent="0.25">
      <c r="A496" s="46"/>
      <c r="B496" s="46"/>
      <c r="C496" s="46"/>
      <c r="D496" s="46"/>
      <c r="E496" s="46"/>
      <c r="F496" s="46"/>
      <c r="G496" s="47"/>
    </row>
    <row r="497" spans="1:7" x14ac:dyDescent="0.25">
      <c r="A497" s="46"/>
      <c r="B497" s="196" t="s">
        <v>45</v>
      </c>
      <c r="C497" s="296" t="s">
        <v>59</v>
      </c>
      <c r="D497" s="296"/>
      <c r="E497" s="296"/>
      <c r="F497" s="46"/>
      <c r="G497" s="47"/>
    </row>
    <row r="498" spans="1:7" x14ac:dyDescent="0.25">
      <c r="A498" s="46"/>
      <c r="B498" s="196" t="s">
        <v>46</v>
      </c>
      <c r="C498" s="297" t="s">
        <v>60</v>
      </c>
      <c r="D498" s="297"/>
      <c r="E498" s="297"/>
      <c r="F498" s="46"/>
      <c r="G498" s="47"/>
    </row>
    <row r="499" spans="1:7" ht="18" x14ac:dyDescent="0.25">
      <c r="A499" s="33" t="s">
        <v>269</v>
      </c>
      <c r="B499" s="19" t="s">
        <v>69</v>
      </c>
      <c r="C499" s="20" t="s">
        <v>50</v>
      </c>
      <c r="D499" s="20" t="s">
        <v>3</v>
      </c>
      <c r="E499" s="21" t="s">
        <v>51</v>
      </c>
      <c r="F499" s="22" t="s">
        <v>52</v>
      </c>
      <c r="G499" s="22" t="s">
        <v>49</v>
      </c>
    </row>
    <row r="500" spans="1:7" x14ac:dyDescent="0.25">
      <c r="A500" s="18"/>
      <c r="B500" s="95" t="s">
        <v>70</v>
      </c>
      <c r="C500" s="41" t="s">
        <v>35</v>
      </c>
      <c r="D500" s="41" t="s">
        <v>18</v>
      </c>
      <c r="E500" s="113">
        <v>0.6</v>
      </c>
      <c r="F500" s="114">
        <v>45</v>
      </c>
      <c r="G500" s="114">
        <f>E500*F500</f>
        <v>27</v>
      </c>
    </row>
    <row r="501" spans="1:7" x14ac:dyDescent="0.25">
      <c r="A501" s="18"/>
      <c r="B501" s="95" t="s">
        <v>441</v>
      </c>
      <c r="C501" s="41" t="s">
        <v>35</v>
      </c>
      <c r="D501" s="24" t="s">
        <v>48</v>
      </c>
      <c r="E501" s="114">
        <v>349</v>
      </c>
      <c r="F501" s="114">
        <v>0.57999999999999996</v>
      </c>
      <c r="G501" s="114">
        <v>177.99</v>
      </c>
    </row>
    <row r="502" spans="1:7" x14ac:dyDescent="0.25">
      <c r="A502" s="18"/>
      <c r="B502" s="95" t="s">
        <v>72</v>
      </c>
      <c r="C502" s="41" t="s">
        <v>35</v>
      </c>
      <c r="D502" s="24" t="s">
        <v>18</v>
      </c>
      <c r="E502" s="113">
        <v>0.2</v>
      </c>
      <c r="F502" s="114">
        <v>65.790000000000006</v>
      </c>
      <c r="G502" s="114">
        <f t="shared" ref="G502:G506" si="19">E502*F502</f>
        <v>13.158000000000001</v>
      </c>
    </row>
    <row r="503" spans="1:7" x14ac:dyDescent="0.25">
      <c r="A503" s="18"/>
      <c r="B503" s="95" t="s">
        <v>73</v>
      </c>
      <c r="C503" s="41" t="s">
        <v>35</v>
      </c>
      <c r="D503" s="24" t="s">
        <v>18</v>
      </c>
      <c r="E503" s="113">
        <v>0.4</v>
      </c>
      <c r="F503" s="114">
        <v>66</v>
      </c>
      <c r="G503" s="114">
        <f t="shared" si="19"/>
        <v>26.400000000000002</v>
      </c>
    </row>
    <row r="504" spans="1:7" ht="36" x14ac:dyDescent="0.25">
      <c r="A504" s="18"/>
      <c r="B504" s="95" t="s">
        <v>440</v>
      </c>
      <c r="C504" s="41" t="s">
        <v>35</v>
      </c>
      <c r="D504" s="24" t="s">
        <v>47</v>
      </c>
      <c r="E504" s="113">
        <v>1.8</v>
      </c>
      <c r="F504" s="114">
        <v>2.1</v>
      </c>
      <c r="G504" s="114">
        <f t="shared" si="19"/>
        <v>3.7800000000000002</v>
      </c>
    </row>
    <row r="505" spans="1:7" x14ac:dyDescent="0.25">
      <c r="A505" s="18"/>
      <c r="B505" s="95" t="s">
        <v>439</v>
      </c>
      <c r="C505" s="41" t="s">
        <v>37</v>
      </c>
      <c r="D505" s="24" t="s">
        <v>38</v>
      </c>
      <c r="E505" s="113">
        <v>0.4</v>
      </c>
      <c r="F505" s="114">
        <v>5.6</v>
      </c>
      <c r="G505" s="114">
        <f t="shared" si="19"/>
        <v>2.2399999999999998</v>
      </c>
    </row>
    <row r="506" spans="1:7" x14ac:dyDescent="0.25">
      <c r="A506" s="18"/>
      <c r="B506" s="95" t="s">
        <v>362</v>
      </c>
      <c r="C506" s="41" t="s">
        <v>37</v>
      </c>
      <c r="D506" s="24" t="s">
        <v>38</v>
      </c>
      <c r="E506" s="104">
        <v>0.4</v>
      </c>
      <c r="F506" s="99">
        <v>4.47</v>
      </c>
      <c r="G506" s="114">
        <f t="shared" si="19"/>
        <v>1.788</v>
      </c>
    </row>
    <row r="507" spans="1:7" x14ac:dyDescent="0.25">
      <c r="A507" s="18"/>
      <c r="B507" s="40"/>
      <c r="C507" s="41"/>
      <c r="D507" s="41"/>
      <c r="E507" s="49"/>
      <c r="F507" s="50"/>
      <c r="G507" s="50"/>
    </row>
    <row r="508" spans="1:7" x14ac:dyDescent="0.25">
      <c r="A508" s="295" t="s">
        <v>39</v>
      </c>
      <c r="B508" s="295"/>
      <c r="C508" s="295"/>
      <c r="D508" s="295"/>
      <c r="E508" s="295"/>
      <c r="F508" s="295"/>
      <c r="G508" s="90">
        <f>SUM(G505:G506)</f>
        <v>4.0279999999999996</v>
      </c>
    </row>
    <row r="509" spans="1:7" x14ac:dyDescent="0.25">
      <c r="A509" s="295" t="s">
        <v>65</v>
      </c>
      <c r="B509" s="295"/>
      <c r="C509" s="295"/>
      <c r="D509" s="295"/>
      <c r="E509" s="295"/>
      <c r="F509" s="295"/>
      <c r="G509" s="90">
        <f>SUM(G504)</f>
        <v>3.7800000000000002</v>
      </c>
    </row>
    <row r="510" spans="1:7" x14ac:dyDescent="0.25">
      <c r="A510" s="295" t="s">
        <v>40</v>
      </c>
      <c r="B510" s="295"/>
      <c r="C510" s="295"/>
      <c r="D510" s="295"/>
      <c r="E510" s="295"/>
      <c r="F510" s="295"/>
      <c r="G510" s="90">
        <f>SUM(G500:G503)</f>
        <v>244.54800000000003</v>
      </c>
    </row>
    <row r="511" spans="1:7" x14ac:dyDescent="0.25">
      <c r="A511" s="295" t="s">
        <v>41</v>
      </c>
      <c r="B511" s="295"/>
      <c r="C511" s="295"/>
      <c r="D511" s="295"/>
      <c r="E511" s="295"/>
      <c r="F511" s="44">
        <f>E9</f>
        <v>0.86599999999999999</v>
      </c>
      <c r="G511" s="90">
        <f>(F511)*G508</f>
        <v>3.4882479999999996</v>
      </c>
    </row>
    <row r="512" spans="1:7" x14ac:dyDescent="0.25">
      <c r="A512" s="295" t="s">
        <v>42</v>
      </c>
      <c r="B512" s="295"/>
      <c r="C512" s="295"/>
      <c r="D512" s="295"/>
      <c r="E512" s="295"/>
      <c r="F512" s="44">
        <f>G10</f>
        <v>0.28349999999999997</v>
      </c>
      <c r="G512" s="90">
        <f>SUM(G508,G510,G511)*F512</f>
        <v>71.460214308000005</v>
      </c>
    </row>
    <row r="513" spans="1:9" x14ac:dyDescent="0.25">
      <c r="A513" s="295" t="s">
        <v>43</v>
      </c>
      <c r="B513" s="295"/>
      <c r="C513" s="295"/>
      <c r="D513" s="295"/>
      <c r="E513" s="295"/>
      <c r="F513" s="295"/>
      <c r="G513" s="90">
        <f>SUM(G508:G512)</f>
        <v>327.30446230800004</v>
      </c>
    </row>
    <row r="514" spans="1:9" x14ac:dyDescent="0.25">
      <c r="A514" s="295" t="s">
        <v>44</v>
      </c>
      <c r="B514" s="295"/>
      <c r="C514" s="299"/>
      <c r="D514" s="299"/>
      <c r="E514" s="299"/>
      <c r="F514" s="295"/>
      <c r="G514" s="91">
        <f>TRUNC(G512+G513,2)</f>
        <v>398.76</v>
      </c>
      <c r="H514" s="17">
        <v>400.13</v>
      </c>
      <c r="I514" s="25">
        <f>G514-H514</f>
        <v>-1.3700000000000045</v>
      </c>
    </row>
    <row r="515" spans="1:9" x14ac:dyDescent="0.25">
      <c r="A515" s="54"/>
      <c r="B515" s="196" t="s">
        <v>45</v>
      </c>
      <c r="C515" s="296" t="s">
        <v>59</v>
      </c>
      <c r="D515" s="296"/>
      <c r="E515" s="296"/>
      <c r="F515" s="54"/>
      <c r="G515" s="47"/>
    </row>
    <row r="516" spans="1:9" x14ac:dyDescent="0.25">
      <c r="A516" s="54"/>
      <c r="B516" s="196" t="s">
        <v>46</v>
      </c>
      <c r="C516" s="297" t="s">
        <v>60</v>
      </c>
      <c r="D516" s="297"/>
      <c r="E516" s="297"/>
      <c r="F516" s="54"/>
      <c r="G516" s="47"/>
    </row>
    <row r="517" spans="1:9" x14ac:dyDescent="0.25">
      <c r="A517" s="54"/>
      <c r="B517" s="196"/>
      <c r="C517" s="195"/>
      <c r="D517" s="195"/>
      <c r="E517" s="195"/>
      <c r="F517" s="54"/>
      <c r="G517" s="47"/>
    </row>
    <row r="518" spans="1:9" ht="18" x14ac:dyDescent="0.25">
      <c r="A518" s="236" t="s">
        <v>270</v>
      </c>
      <c r="B518" s="39" t="s">
        <v>75</v>
      </c>
      <c r="C518" s="20" t="s">
        <v>50</v>
      </c>
      <c r="D518" s="35" t="s">
        <v>36</v>
      </c>
      <c r="E518" s="21" t="s">
        <v>51</v>
      </c>
      <c r="F518" s="22" t="s">
        <v>52</v>
      </c>
      <c r="G518" s="22" t="s">
        <v>49</v>
      </c>
    </row>
    <row r="519" spans="1:9" x14ac:dyDescent="0.25">
      <c r="A519" s="18"/>
      <c r="B519" s="235" t="s">
        <v>76</v>
      </c>
      <c r="C519" s="77" t="s">
        <v>64</v>
      </c>
      <c r="D519" s="77" t="s">
        <v>47</v>
      </c>
      <c r="E519" s="78">
        <v>0.1</v>
      </c>
      <c r="F519" s="78">
        <v>2.1</v>
      </c>
      <c r="G519" s="78">
        <f>E519*F519</f>
        <v>0.21000000000000002</v>
      </c>
    </row>
    <row r="520" spans="1:9" x14ac:dyDescent="0.25">
      <c r="A520" s="18"/>
      <c r="B520" s="111" t="s">
        <v>390</v>
      </c>
      <c r="C520" s="24" t="s">
        <v>37</v>
      </c>
      <c r="D520" s="24" t="s">
        <v>38</v>
      </c>
      <c r="E520" s="114">
        <v>1.3</v>
      </c>
      <c r="F520" s="114">
        <v>5.6</v>
      </c>
      <c r="G520" s="114">
        <f>E520*F520</f>
        <v>7.2799999999999994</v>
      </c>
    </row>
    <row r="521" spans="1:9" x14ac:dyDescent="0.25">
      <c r="A521" s="18"/>
      <c r="B521" s="111" t="s">
        <v>391</v>
      </c>
      <c r="C521" s="24" t="s">
        <v>37</v>
      </c>
      <c r="D521" s="24" t="s">
        <v>38</v>
      </c>
      <c r="E521" s="114">
        <v>2.6</v>
      </c>
      <c r="F521" s="114">
        <v>4.47</v>
      </c>
      <c r="G521" s="114">
        <f>E521*F521</f>
        <v>11.622</v>
      </c>
    </row>
    <row r="522" spans="1:9" x14ac:dyDescent="0.25">
      <c r="A522" s="18"/>
      <c r="B522" s="40"/>
      <c r="C522" s="41"/>
      <c r="D522" s="41"/>
      <c r="E522" s="42"/>
      <c r="F522" s="43"/>
      <c r="G522" s="43"/>
    </row>
    <row r="523" spans="1:9" x14ac:dyDescent="0.25">
      <c r="A523" s="295" t="s">
        <v>39</v>
      </c>
      <c r="B523" s="295"/>
      <c r="C523" s="295"/>
      <c r="D523" s="295"/>
      <c r="E523" s="295"/>
      <c r="F523" s="295"/>
      <c r="G523" s="16">
        <f>SUM(G520:G521)</f>
        <v>18.902000000000001</v>
      </c>
    </row>
    <row r="524" spans="1:9" x14ac:dyDescent="0.25">
      <c r="A524" s="295" t="s">
        <v>65</v>
      </c>
      <c r="B524" s="295"/>
      <c r="C524" s="295"/>
      <c r="D524" s="295"/>
      <c r="E524" s="295"/>
      <c r="F524" s="295"/>
      <c r="G524" s="16">
        <f>SUM(G519)</f>
        <v>0.21000000000000002</v>
      </c>
    </row>
    <row r="525" spans="1:9" x14ac:dyDescent="0.25">
      <c r="A525" s="295" t="s">
        <v>41</v>
      </c>
      <c r="B525" s="295"/>
      <c r="C525" s="295"/>
      <c r="D525" s="295"/>
      <c r="E525" s="295"/>
      <c r="F525" s="44">
        <f>E9</f>
        <v>0.86599999999999999</v>
      </c>
      <c r="G525" s="16">
        <f>(F525)*G523</f>
        <v>16.369132</v>
      </c>
    </row>
    <row r="526" spans="1:9" x14ac:dyDescent="0.25">
      <c r="A526" s="295" t="s">
        <v>42</v>
      </c>
      <c r="B526" s="295"/>
      <c r="C526" s="295"/>
      <c r="D526" s="295"/>
      <c r="E526" s="295"/>
      <c r="F526" s="44">
        <f>G10</f>
        <v>0.28349999999999997</v>
      </c>
      <c r="G526" s="16">
        <f>SUM(G523,G524,G525)*F526</f>
        <v>10.058900921999999</v>
      </c>
    </row>
    <row r="527" spans="1:9" x14ac:dyDescent="0.25">
      <c r="A527" s="295" t="s">
        <v>43</v>
      </c>
      <c r="B527" s="295"/>
      <c r="C527" s="295"/>
      <c r="D527" s="295"/>
      <c r="E527" s="295"/>
      <c r="F527" s="295"/>
      <c r="G527" s="16">
        <f>SUM(G523:G526)</f>
        <v>45.540032922000002</v>
      </c>
    </row>
    <row r="528" spans="1:9" x14ac:dyDescent="0.25">
      <c r="A528" s="295" t="s">
        <v>44</v>
      </c>
      <c r="B528" s="295"/>
      <c r="C528" s="295"/>
      <c r="D528" s="295"/>
      <c r="E528" s="295"/>
      <c r="F528" s="295"/>
      <c r="G528" s="15">
        <f>TRUNC(G526+G527,2)+0.01</f>
        <v>55.6</v>
      </c>
    </row>
    <row r="529" spans="1:9" x14ac:dyDescent="0.25">
      <c r="A529" s="46"/>
      <c r="B529" s="46"/>
      <c r="C529" s="46"/>
      <c r="D529" s="46"/>
      <c r="E529" s="46"/>
      <c r="F529" s="46"/>
      <c r="G529" s="47"/>
    </row>
    <row r="530" spans="1:9" x14ac:dyDescent="0.25">
      <c r="A530" s="46"/>
      <c r="B530" s="196" t="s">
        <v>45</v>
      </c>
      <c r="C530" s="296" t="s">
        <v>59</v>
      </c>
      <c r="D530" s="296"/>
      <c r="E530" s="296"/>
      <c r="F530" s="46"/>
      <c r="G530" s="47"/>
    </row>
    <row r="531" spans="1:9" x14ac:dyDescent="0.25">
      <c r="A531" s="46"/>
      <c r="B531" s="196" t="s">
        <v>46</v>
      </c>
      <c r="C531" s="297" t="s">
        <v>60</v>
      </c>
      <c r="D531" s="297"/>
      <c r="E531" s="297"/>
      <c r="F531" s="46"/>
      <c r="G531" s="47"/>
    </row>
    <row r="532" spans="1:9" x14ac:dyDescent="0.25">
      <c r="A532" s="46"/>
      <c r="B532" s="196"/>
      <c r="C532" s="195"/>
      <c r="D532" s="195"/>
      <c r="E532" s="195"/>
      <c r="F532" s="46"/>
      <c r="G532" s="47"/>
    </row>
    <row r="533" spans="1:9" ht="18" x14ac:dyDescent="0.25">
      <c r="A533" s="236" t="s">
        <v>272</v>
      </c>
      <c r="B533" s="39" t="s">
        <v>273</v>
      </c>
      <c r="C533" s="20" t="s">
        <v>50</v>
      </c>
      <c r="D533" s="35" t="s">
        <v>36</v>
      </c>
      <c r="E533" s="21" t="s">
        <v>51</v>
      </c>
      <c r="F533" s="22" t="s">
        <v>52</v>
      </c>
      <c r="G533" s="22" t="s">
        <v>49</v>
      </c>
    </row>
    <row r="534" spans="1:9" ht="27" x14ac:dyDescent="0.25">
      <c r="A534" s="18"/>
      <c r="B534" s="238" t="s">
        <v>488</v>
      </c>
      <c r="C534" s="257" t="s">
        <v>35</v>
      </c>
      <c r="D534" s="85" t="s">
        <v>15</v>
      </c>
      <c r="E534" s="87">
        <v>1.08</v>
      </c>
      <c r="F534" s="87">
        <v>8.0540000000000003</v>
      </c>
      <c r="G534" s="87">
        <f>E534*F534</f>
        <v>8.6983200000000007</v>
      </c>
    </row>
    <row r="535" spans="1:9" x14ac:dyDescent="0.25">
      <c r="A535" s="18"/>
      <c r="B535" s="255" t="s">
        <v>366</v>
      </c>
      <c r="C535" s="41" t="s">
        <v>35</v>
      </c>
      <c r="D535" s="24" t="s">
        <v>15</v>
      </c>
      <c r="E535" s="114">
        <v>1</v>
      </c>
      <c r="F535" s="114">
        <v>4.5</v>
      </c>
      <c r="G535" s="114">
        <f>E535*F535</f>
        <v>4.5</v>
      </c>
    </row>
    <row r="536" spans="1:9" x14ac:dyDescent="0.25">
      <c r="A536" s="18"/>
      <c r="B536" s="111" t="s">
        <v>344</v>
      </c>
      <c r="C536" s="24" t="s">
        <v>37</v>
      </c>
      <c r="D536" s="24" t="s">
        <v>38</v>
      </c>
      <c r="E536" s="114">
        <v>0.2</v>
      </c>
      <c r="F536" s="114">
        <v>4.47</v>
      </c>
      <c r="G536" s="114">
        <f>E536*F536</f>
        <v>0.89400000000000002</v>
      </c>
    </row>
    <row r="537" spans="1:9" x14ac:dyDescent="0.25">
      <c r="A537" s="18"/>
      <c r="B537" s="40"/>
      <c r="C537" s="41"/>
      <c r="D537" s="41"/>
      <c r="E537" s="42"/>
      <c r="F537" s="43"/>
      <c r="G537" s="43"/>
    </row>
    <row r="538" spans="1:9" x14ac:dyDescent="0.25">
      <c r="A538" s="295" t="s">
        <v>39</v>
      </c>
      <c r="B538" s="295"/>
      <c r="C538" s="295"/>
      <c r="D538" s="295"/>
      <c r="E538" s="295"/>
      <c r="F538" s="295"/>
      <c r="G538" s="90">
        <f>SUM(G536:G536)</f>
        <v>0.89400000000000002</v>
      </c>
    </row>
    <row r="539" spans="1:9" x14ac:dyDescent="0.25">
      <c r="A539" s="295" t="s">
        <v>40</v>
      </c>
      <c r="B539" s="295"/>
      <c r="C539" s="295"/>
      <c r="D539" s="295"/>
      <c r="E539" s="295"/>
      <c r="F539" s="295"/>
      <c r="G539" s="90">
        <f>SUM(G534:G535)</f>
        <v>13.198320000000001</v>
      </c>
    </row>
    <row r="540" spans="1:9" x14ac:dyDescent="0.25">
      <c r="A540" s="295" t="s">
        <v>41</v>
      </c>
      <c r="B540" s="295"/>
      <c r="C540" s="295"/>
      <c r="D540" s="295"/>
      <c r="E540" s="295"/>
      <c r="F540" s="44">
        <f>E9</f>
        <v>0.86599999999999999</v>
      </c>
      <c r="G540" s="90">
        <f>(F540)*G538</f>
        <v>0.774204</v>
      </c>
    </row>
    <row r="541" spans="1:9" x14ac:dyDescent="0.25">
      <c r="A541" s="295" t="s">
        <v>42</v>
      </c>
      <c r="B541" s="295"/>
      <c r="C541" s="295"/>
      <c r="D541" s="295"/>
      <c r="E541" s="295"/>
      <c r="F541" s="44">
        <f>G10</f>
        <v>0.28349999999999997</v>
      </c>
      <c r="G541" s="90">
        <f>SUM(G538,G539,G540)*F541</f>
        <v>4.2146595539999998</v>
      </c>
    </row>
    <row r="542" spans="1:9" x14ac:dyDescent="0.25">
      <c r="A542" s="295" t="s">
        <v>43</v>
      </c>
      <c r="B542" s="295"/>
      <c r="C542" s="295"/>
      <c r="D542" s="295"/>
      <c r="E542" s="295"/>
      <c r="F542" s="295"/>
      <c r="G542" s="90">
        <f>SUM(G538:G541)</f>
        <v>19.081183553999999</v>
      </c>
    </row>
    <row r="543" spans="1:9" x14ac:dyDescent="0.25">
      <c r="A543" s="295" t="s">
        <v>44</v>
      </c>
      <c r="B543" s="295"/>
      <c r="C543" s="295"/>
      <c r="D543" s="295"/>
      <c r="E543" s="295"/>
      <c r="F543" s="295"/>
      <c r="G543" s="91">
        <f>TRUNC(G541+G542,2)+0.01</f>
        <v>23.3</v>
      </c>
      <c r="H543" s="17">
        <v>23.3</v>
      </c>
      <c r="I543" s="25">
        <f>G543-H543</f>
        <v>0</v>
      </c>
    </row>
    <row r="544" spans="1:9" x14ac:dyDescent="0.25">
      <c r="A544" s="46"/>
      <c r="B544" s="46"/>
      <c r="C544" s="46"/>
      <c r="D544" s="46"/>
      <c r="E544" s="46"/>
      <c r="F544" s="46"/>
      <c r="G544" s="47"/>
    </row>
    <row r="545" spans="1:7" x14ac:dyDescent="0.25">
      <c r="A545" s="46"/>
      <c r="B545" s="196" t="s">
        <v>45</v>
      </c>
      <c r="C545" s="296" t="s">
        <v>59</v>
      </c>
      <c r="D545" s="296"/>
      <c r="E545" s="296"/>
      <c r="F545" s="46"/>
      <c r="G545" s="47"/>
    </row>
    <row r="546" spans="1:7" x14ac:dyDescent="0.25">
      <c r="A546" s="46"/>
      <c r="B546" s="196" t="s">
        <v>46</v>
      </c>
      <c r="C546" s="297" t="s">
        <v>60</v>
      </c>
      <c r="D546" s="297"/>
      <c r="E546" s="297"/>
      <c r="F546" s="46"/>
      <c r="G546" s="47"/>
    </row>
    <row r="547" spans="1:7" x14ac:dyDescent="0.25">
      <c r="A547" s="46"/>
      <c r="B547" s="196"/>
      <c r="C547" s="195"/>
      <c r="D547" s="195"/>
      <c r="E547" s="195"/>
      <c r="F547" s="46"/>
      <c r="G547" s="47"/>
    </row>
    <row r="548" spans="1:7" x14ac:dyDescent="0.25">
      <c r="A548" s="236" t="s">
        <v>283</v>
      </c>
      <c r="B548" s="237" t="s">
        <v>312</v>
      </c>
      <c r="C548" s="20" t="s">
        <v>50</v>
      </c>
      <c r="D548" s="35" t="s">
        <v>36</v>
      </c>
      <c r="E548" s="21" t="s">
        <v>51</v>
      </c>
      <c r="F548" s="22" t="s">
        <v>52</v>
      </c>
      <c r="G548" s="22" t="s">
        <v>49</v>
      </c>
    </row>
    <row r="549" spans="1:7" x14ac:dyDescent="0.25">
      <c r="A549" s="96"/>
      <c r="B549" s="111" t="s">
        <v>391</v>
      </c>
      <c r="C549" s="24" t="s">
        <v>37</v>
      </c>
      <c r="D549" s="24" t="s">
        <v>38</v>
      </c>
      <c r="E549" s="234">
        <v>2</v>
      </c>
      <c r="F549" s="114">
        <v>4.47</v>
      </c>
      <c r="G549" s="114">
        <f>E549*F549</f>
        <v>8.94</v>
      </c>
    </row>
    <row r="550" spans="1:7" ht="18" x14ac:dyDescent="0.25">
      <c r="A550" s="18"/>
      <c r="B550" s="95" t="s">
        <v>498</v>
      </c>
      <c r="C550" s="41" t="s">
        <v>35</v>
      </c>
      <c r="D550" s="41" t="s">
        <v>369</v>
      </c>
      <c r="E550" s="233">
        <v>1.05</v>
      </c>
      <c r="F550" s="82">
        <v>55</v>
      </c>
      <c r="G550" s="82">
        <f>E550*F550</f>
        <v>57.75</v>
      </c>
    </row>
    <row r="551" spans="1:7" x14ac:dyDescent="0.25">
      <c r="A551" s="18"/>
      <c r="B551" s="40"/>
      <c r="C551" s="41"/>
      <c r="D551" s="41"/>
      <c r="E551" s="233"/>
      <c r="F551" s="82"/>
      <c r="G551" s="82"/>
    </row>
    <row r="552" spans="1:7" x14ac:dyDescent="0.25">
      <c r="A552" s="295" t="s">
        <v>39</v>
      </c>
      <c r="B552" s="295"/>
      <c r="C552" s="295"/>
      <c r="D552" s="295"/>
      <c r="E552" s="295"/>
      <c r="F552" s="295"/>
      <c r="G552" s="90">
        <f>SUM(G549)</f>
        <v>8.94</v>
      </c>
    </row>
    <row r="553" spans="1:7" x14ac:dyDescent="0.25">
      <c r="A553" s="295" t="s">
        <v>40</v>
      </c>
      <c r="B553" s="295"/>
      <c r="C553" s="295"/>
      <c r="D553" s="295"/>
      <c r="E553" s="295"/>
      <c r="F553" s="295"/>
      <c r="G553" s="90">
        <f>SUM(G550)</f>
        <v>57.75</v>
      </c>
    </row>
    <row r="554" spans="1:7" x14ac:dyDescent="0.25">
      <c r="A554" s="295" t="s">
        <v>41</v>
      </c>
      <c r="B554" s="295"/>
      <c r="C554" s="295"/>
      <c r="D554" s="295"/>
      <c r="E554" s="295"/>
      <c r="F554" s="44">
        <f>E9</f>
        <v>0.86599999999999999</v>
      </c>
      <c r="G554" s="90">
        <f>(F554)*G552</f>
        <v>7.7420399999999994</v>
      </c>
    </row>
    <row r="555" spans="1:7" x14ac:dyDescent="0.25">
      <c r="A555" s="295" t="s">
        <v>42</v>
      </c>
      <c r="B555" s="295"/>
      <c r="C555" s="295"/>
      <c r="D555" s="295"/>
      <c r="E555" s="295"/>
      <c r="F555" s="44">
        <f>G10</f>
        <v>0.28349999999999997</v>
      </c>
      <c r="G555" s="90">
        <f>SUM(G552,G553,G554)*F555</f>
        <v>21.101483339999998</v>
      </c>
    </row>
    <row r="556" spans="1:7" x14ac:dyDescent="0.25">
      <c r="A556" s="295" t="s">
        <v>43</v>
      </c>
      <c r="B556" s="295"/>
      <c r="C556" s="295"/>
      <c r="D556" s="295"/>
      <c r="E556" s="295"/>
      <c r="F556" s="295"/>
      <c r="G556" s="90">
        <f>SUM(G552:G555)</f>
        <v>95.533523340000002</v>
      </c>
    </row>
    <row r="557" spans="1:7" x14ac:dyDescent="0.25">
      <c r="A557" s="295" t="s">
        <v>44</v>
      </c>
      <c r="B557" s="295"/>
      <c r="C557" s="295"/>
      <c r="D557" s="295"/>
      <c r="E557" s="295"/>
      <c r="F557" s="295"/>
      <c r="G557" s="91">
        <f>TRUNC(G555+G556,2)</f>
        <v>116.63</v>
      </c>
    </row>
    <row r="558" spans="1:7" x14ac:dyDescent="0.25">
      <c r="A558" s="46"/>
      <c r="B558" s="46"/>
      <c r="C558" s="46"/>
      <c r="D558" s="46"/>
      <c r="E558" s="46"/>
      <c r="F558" s="46"/>
      <c r="G558" s="47"/>
    </row>
    <row r="559" spans="1:7" x14ac:dyDescent="0.25">
      <c r="A559" s="46"/>
      <c r="B559" s="196" t="s">
        <v>45</v>
      </c>
      <c r="C559" s="296" t="s">
        <v>59</v>
      </c>
      <c r="D559" s="296"/>
      <c r="E559" s="296"/>
      <c r="F559" s="46"/>
      <c r="G559" s="47"/>
    </row>
    <row r="560" spans="1:7" x14ac:dyDescent="0.25">
      <c r="A560" s="46"/>
      <c r="B560" s="196" t="s">
        <v>46</v>
      </c>
      <c r="C560" s="297" t="s">
        <v>60</v>
      </c>
      <c r="D560" s="297"/>
      <c r="E560" s="297"/>
      <c r="F560" s="46"/>
      <c r="G560" s="47"/>
    </row>
    <row r="561" spans="1:9" x14ac:dyDescent="0.25">
      <c r="A561" s="46"/>
      <c r="B561" s="196"/>
      <c r="C561" s="195"/>
      <c r="D561" s="195"/>
      <c r="E561" s="195"/>
      <c r="F561" s="46"/>
      <c r="G561" s="47"/>
    </row>
    <row r="562" spans="1:9" ht="21.75" customHeight="1" x14ac:dyDescent="0.25">
      <c r="A562" s="236" t="s">
        <v>284</v>
      </c>
      <c r="B562" s="237" t="s">
        <v>274</v>
      </c>
      <c r="C562" s="20" t="s">
        <v>50</v>
      </c>
      <c r="D562" s="35" t="s">
        <v>36</v>
      </c>
      <c r="E562" s="21" t="s">
        <v>51</v>
      </c>
      <c r="F562" s="22" t="s">
        <v>52</v>
      </c>
      <c r="G562" s="22" t="s">
        <v>49</v>
      </c>
    </row>
    <row r="563" spans="1:9" ht="22.5" customHeight="1" x14ac:dyDescent="0.25">
      <c r="A563" s="18"/>
      <c r="B563" s="238" t="s">
        <v>368</v>
      </c>
      <c r="C563" s="85" t="s">
        <v>35</v>
      </c>
      <c r="D563" s="85" t="s">
        <v>12</v>
      </c>
      <c r="E563" s="87">
        <v>1</v>
      </c>
      <c r="F563" s="87">
        <v>13.2</v>
      </c>
      <c r="G563" s="87">
        <f>E563*F563</f>
        <v>13.2</v>
      </c>
    </row>
    <row r="564" spans="1:9" ht="18" x14ac:dyDescent="0.25">
      <c r="A564" s="18"/>
      <c r="B564" s="111" t="s">
        <v>367</v>
      </c>
      <c r="C564" s="24" t="s">
        <v>37</v>
      </c>
      <c r="D564" s="24" t="s">
        <v>38</v>
      </c>
      <c r="E564" s="114">
        <v>0.2</v>
      </c>
      <c r="F564" s="114">
        <v>5.6</v>
      </c>
      <c r="G564" s="114">
        <f>E564*F564</f>
        <v>1.1199999999999999</v>
      </c>
    </row>
    <row r="565" spans="1:9" x14ac:dyDescent="0.25">
      <c r="A565" s="18"/>
      <c r="B565" s="111" t="s">
        <v>344</v>
      </c>
      <c r="C565" s="24" t="s">
        <v>37</v>
      </c>
      <c r="D565" s="24" t="s">
        <v>38</v>
      </c>
      <c r="E565" s="114">
        <v>0.2</v>
      </c>
      <c r="F565" s="114">
        <v>4.47</v>
      </c>
      <c r="G565" s="114">
        <f>E565*F565</f>
        <v>0.89400000000000002</v>
      </c>
    </row>
    <row r="566" spans="1:9" x14ac:dyDescent="0.25">
      <c r="A566" s="18"/>
      <c r="B566" s="40"/>
      <c r="C566" s="41"/>
      <c r="D566" s="41"/>
      <c r="E566" s="42"/>
      <c r="F566" s="43"/>
      <c r="G566" s="43"/>
    </row>
    <row r="567" spans="1:9" x14ac:dyDescent="0.25">
      <c r="A567" s="295" t="s">
        <v>39</v>
      </c>
      <c r="B567" s="295"/>
      <c r="C567" s="295"/>
      <c r="D567" s="295"/>
      <c r="E567" s="295"/>
      <c r="F567" s="295"/>
      <c r="G567" s="90">
        <f>SUM(G564:G565)</f>
        <v>2.0139999999999998</v>
      </c>
    </row>
    <row r="568" spans="1:9" x14ac:dyDescent="0.25">
      <c r="A568" s="295" t="s">
        <v>40</v>
      </c>
      <c r="B568" s="295"/>
      <c r="C568" s="295"/>
      <c r="D568" s="295"/>
      <c r="E568" s="295"/>
      <c r="F568" s="295"/>
      <c r="G568" s="90">
        <f>SUM(G563)</f>
        <v>13.2</v>
      </c>
    </row>
    <row r="569" spans="1:9" x14ac:dyDescent="0.25">
      <c r="A569" s="295" t="s">
        <v>41</v>
      </c>
      <c r="B569" s="295"/>
      <c r="C569" s="295"/>
      <c r="D569" s="295"/>
      <c r="E569" s="295"/>
      <c r="F569" s="44">
        <f>E9</f>
        <v>0.86599999999999999</v>
      </c>
      <c r="G569" s="90">
        <f>(F569)*G567</f>
        <v>1.7441239999999998</v>
      </c>
    </row>
    <row r="570" spans="1:9" x14ac:dyDescent="0.25">
      <c r="A570" s="295" t="s">
        <v>42</v>
      </c>
      <c r="B570" s="295"/>
      <c r="C570" s="295"/>
      <c r="D570" s="295"/>
      <c r="E570" s="295"/>
      <c r="F570" s="44">
        <f>G10</f>
        <v>0.28349999999999997</v>
      </c>
      <c r="G570" s="90">
        <f>SUM(G567,G568,G569)*F570</f>
        <v>4.8076281539999988</v>
      </c>
    </row>
    <row r="571" spans="1:9" x14ac:dyDescent="0.25">
      <c r="A571" s="295" t="s">
        <v>43</v>
      </c>
      <c r="B571" s="295"/>
      <c r="C571" s="295"/>
      <c r="D571" s="295"/>
      <c r="E571" s="295"/>
      <c r="F571" s="295"/>
      <c r="G571" s="90">
        <f>SUM(G567:G570)</f>
        <v>21.765752153999998</v>
      </c>
    </row>
    <row r="572" spans="1:9" x14ac:dyDescent="0.25">
      <c r="A572" s="295" t="s">
        <v>44</v>
      </c>
      <c r="B572" s="295"/>
      <c r="C572" s="295"/>
      <c r="D572" s="295"/>
      <c r="E572" s="295"/>
      <c r="F572" s="295"/>
      <c r="G572" s="91">
        <f>TRUNC(G570+G571,2)+0.01</f>
        <v>26.580000000000002</v>
      </c>
      <c r="H572" s="17">
        <v>27.29</v>
      </c>
      <c r="I572" s="25">
        <f>G572-H572</f>
        <v>-0.7099999999999973</v>
      </c>
    </row>
    <row r="573" spans="1:9" x14ac:dyDescent="0.25">
      <c r="A573" s="46"/>
      <c r="B573" s="46"/>
      <c r="C573" s="46"/>
      <c r="D573" s="46"/>
      <c r="E573" s="46"/>
      <c r="F573" s="46"/>
      <c r="G573" s="47"/>
    </row>
    <row r="574" spans="1:9" x14ac:dyDescent="0.25">
      <c r="A574" s="46"/>
      <c r="B574" s="196" t="s">
        <v>45</v>
      </c>
      <c r="C574" s="296" t="s">
        <v>59</v>
      </c>
      <c r="D574" s="296"/>
      <c r="E574" s="296"/>
      <c r="F574" s="46"/>
      <c r="G574" s="47"/>
    </row>
    <row r="575" spans="1:9" x14ac:dyDescent="0.25">
      <c r="A575" s="46"/>
      <c r="B575" s="196" t="s">
        <v>46</v>
      </c>
      <c r="C575" s="297" t="s">
        <v>60</v>
      </c>
      <c r="D575" s="297"/>
      <c r="E575" s="297"/>
      <c r="F575" s="46"/>
      <c r="G575" s="47"/>
    </row>
    <row r="576" spans="1:9" x14ac:dyDescent="0.25">
      <c r="A576" s="46"/>
      <c r="B576" s="196"/>
      <c r="C576" s="195"/>
      <c r="D576" s="195"/>
      <c r="E576" s="195"/>
      <c r="F576" s="46"/>
      <c r="G576" s="47"/>
    </row>
    <row r="577" spans="1:9" ht="27" x14ac:dyDescent="0.25">
      <c r="A577" s="236" t="s">
        <v>285</v>
      </c>
      <c r="B577" s="19" t="s">
        <v>275</v>
      </c>
      <c r="C577" s="20" t="s">
        <v>50</v>
      </c>
      <c r="D577" s="35" t="s">
        <v>36</v>
      </c>
      <c r="E577" s="21" t="s">
        <v>51</v>
      </c>
      <c r="F577" s="22" t="s">
        <v>52</v>
      </c>
      <c r="G577" s="22" t="s">
        <v>49</v>
      </c>
    </row>
    <row r="578" spans="1:9" ht="27" x14ac:dyDescent="0.25">
      <c r="A578" s="83"/>
      <c r="B578" s="259" t="s">
        <v>500</v>
      </c>
      <c r="C578" s="85" t="s">
        <v>35</v>
      </c>
      <c r="D578" s="85" t="s">
        <v>15</v>
      </c>
      <c r="E578" s="87">
        <v>1.2</v>
      </c>
      <c r="F578" s="87">
        <v>5</v>
      </c>
      <c r="G578" s="239">
        <f>E578*F578</f>
        <v>6</v>
      </c>
    </row>
    <row r="579" spans="1:9" x14ac:dyDescent="0.25">
      <c r="A579" s="18"/>
      <c r="B579" s="110" t="s">
        <v>390</v>
      </c>
      <c r="C579" s="23" t="s">
        <v>37</v>
      </c>
      <c r="D579" s="24" t="s">
        <v>38</v>
      </c>
      <c r="E579" s="99">
        <v>0.2</v>
      </c>
      <c r="F579" s="99">
        <v>5.6</v>
      </c>
      <c r="G579" s="99">
        <f>E579*F579</f>
        <v>1.1199999999999999</v>
      </c>
    </row>
    <row r="580" spans="1:9" x14ac:dyDescent="0.25">
      <c r="A580" s="18"/>
      <c r="B580" s="110" t="s">
        <v>394</v>
      </c>
      <c r="C580" s="23" t="s">
        <v>37</v>
      </c>
      <c r="D580" s="24" t="s">
        <v>38</v>
      </c>
      <c r="E580" s="99">
        <v>0.1</v>
      </c>
      <c r="F580" s="99">
        <v>4.47</v>
      </c>
      <c r="G580" s="99">
        <f>E580*F580</f>
        <v>0.44700000000000001</v>
      </c>
    </row>
    <row r="581" spans="1:9" x14ac:dyDescent="0.25">
      <c r="A581" s="295" t="s">
        <v>39</v>
      </c>
      <c r="B581" s="295"/>
      <c r="C581" s="295"/>
      <c r="D581" s="295"/>
      <c r="E581" s="295"/>
      <c r="F581" s="295"/>
      <c r="G581" s="90">
        <f>SUM(G579:G580)</f>
        <v>1.5669999999999999</v>
      </c>
    </row>
    <row r="582" spans="1:9" x14ac:dyDescent="0.25">
      <c r="A582" s="295" t="s">
        <v>40</v>
      </c>
      <c r="B582" s="295"/>
      <c r="C582" s="295"/>
      <c r="D582" s="295"/>
      <c r="E582" s="295"/>
      <c r="F582" s="295"/>
      <c r="G582" s="90">
        <f>SUM(G578)</f>
        <v>6</v>
      </c>
    </row>
    <row r="583" spans="1:9" x14ac:dyDescent="0.25">
      <c r="A583" s="295" t="s">
        <v>41</v>
      </c>
      <c r="B583" s="295"/>
      <c r="C583" s="295"/>
      <c r="D583" s="295"/>
      <c r="E583" s="295"/>
      <c r="F583" s="44">
        <f>E9</f>
        <v>0.86599999999999999</v>
      </c>
      <c r="G583" s="90">
        <f>(F583)*G581</f>
        <v>1.357022</v>
      </c>
    </row>
    <row r="584" spans="1:9" x14ac:dyDescent="0.25">
      <c r="A584" s="295" t="s">
        <v>42</v>
      </c>
      <c r="B584" s="295"/>
      <c r="C584" s="295"/>
      <c r="D584" s="295"/>
      <c r="E584" s="295"/>
      <c r="F584" s="44">
        <f>G10</f>
        <v>0.28349999999999997</v>
      </c>
      <c r="G584" s="90">
        <f>SUM(G581,G582,G583)*F584</f>
        <v>2.5299602370000001</v>
      </c>
    </row>
    <row r="585" spans="1:9" x14ac:dyDescent="0.25">
      <c r="A585" s="295" t="s">
        <v>43</v>
      </c>
      <c r="B585" s="295"/>
      <c r="C585" s="295"/>
      <c r="D585" s="295"/>
      <c r="E585" s="295"/>
      <c r="F585" s="295"/>
      <c r="G585" s="90">
        <f>SUM(G581:G584)</f>
        <v>11.453982237000002</v>
      </c>
    </row>
    <row r="586" spans="1:9" x14ac:dyDescent="0.25">
      <c r="A586" s="295" t="s">
        <v>44</v>
      </c>
      <c r="B586" s="295"/>
      <c r="C586" s="295"/>
      <c r="D586" s="295"/>
      <c r="E586" s="295"/>
      <c r="F586" s="295"/>
      <c r="G586" s="91">
        <f>TRUNC(G584+G585,2)+0.01</f>
        <v>13.99</v>
      </c>
      <c r="H586" s="17">
        <v>14.7</v>
      </c>
      <c r="I586" s="25">
        <f>G586-H586</f>
        <v>-0.70999999999999908</v>
      </c>
    </row>
    <row r="588" spans="1:9" x14ac:dyDescent="0.25">
      <c r="B588" s="196" t="s">
        <v>45</v>
      </c>
      <c r="C588" s="296" t="s">
        <v>59</v>
      </c>
      <c r="D588" s="296"/>
      <c r="E588" s="296"/>
    </row>
    <row r="589" spans="1:9" x14ac:dyDescent="0.25">
      <c r="B589" s="196" t="s">
        <v>46</v>
      </c>
      <c r="C589" s="297" t="s">
        <v>60</v>
      </c>
      <c r="D589" s="297"/>
      <c r="E589" s="297"/>
    </row>
    <row r="590" spans="1:9" x14ac:dyDescent="0.25">
      <c r="A590" s="46"/>
      <c r="B590" s="196"/>
      <c r="C590" s="195"/>
      <c r="D590" s="195"/>
      <c r="E590" s="195"/>
      <c r="F590" s="46"/>
      <c r="G590" s="47"/>
    </row>
    <row r="591" spans="1:9" ht="18" x14ac:dyDescent="0.25">
      <c r="A591" s="236" t="s">
        <v>286</v>
      </c>
      <c r="B591" s="237" t="s">
        <v>314</v>
      </c>
      <c r="C591" s="20" t="s">
        <v>50</v>
      </c>
      <c r="D591" s="35" t="s">
        <v>36</v>
      </c>
      <c r="E591" s="21" t="s">
        <v>51</v>
      </c>
      <c r="F591" s="22" t="s">
        <v>52</v>
      </c>
      <c r="G591" s="22" t="s">
        <v>49</v>
      </c>
    </row>
    <row r="592" spans="1:9" x14ac:dyDescent="0.25">
      <c r="A592" s="18"/>
      <c r="B592" s="238" t="s">
        <v>499</v>
      </c>
      <c r="C592" s="257" t="s">
        <v>35</v>
      </c>
      <c r="D592" s="85" t="s">
        <v>12</v>
      </c>
      <c r="E592" s="87">
        <v>1.05</v>
      </c>
      <c r="F592" s="87">
        <v>3.2</v>
      </c>
      <c r="G592" s="256">
        <f>E592*F592</f>
        <v>3.3600000000000003</v>
      </c>
    </row>
    <row r="593" spans="1:9" ht="18" x14ac:dyDescent="0.25">
      <c r="A593" s="18"/>
      <c r="B593" s="258" t="s">
        <v>370</v>
      </c>
      <c r="C593" s="41" t="s">
        <v>35</v>
      </c>
      <c r="D593" s="24" t="s">
        <v>18</v>
      </c>
      <c r="E593" s="113">
        <v>1E-3</v>
      </c>
      <c r="F593" s="114">
        <v>66</v>
      </c>
      <c r="G593" s="82">
        <f>E593*F593</f>
        <v>6.6000000000000003E-2</v>
      </c>
    </row>
    <row r="594" spans="1:9" x14ac:dyDescent="0.25">
      <c r="A594" s="18"/>
      <c r="B594" s="111" t="s">
        <v>396</v>
      </c>
      <c r="C594" s="24" t="s">
        <v>37</v>
      </c>
      <c r="D594" s="24" t="s">
        <v>38</v>
      </c>
      <c r="E594" s="114">
        <v>0.06</v>
      </c>
      <c r="F594" s="114">
        <v>4.47</v>
      </c>
      <c r="G594" s="114">
        <f>E594*F594</f>
        <v>0.26819999999999999</v>
      </c>
    </row>
    <row r="595" spans="1:9" x14ac:dyDescent="0.25">
      <c r="A595" s="18"/>
      <c r="B595" s="40"/>
      <c r="C595" s="41"/>
      <c r="D595" s="41"/>
      <c r="E595" s="42"/>
      <c r="F595" s="43"/>
      <c r="G595" s="43"/>
    </row>
    <row r="596" spans="1:9" x14ac:dyDescent="0.25">
      <c r="A596" s="295" t="s">
        <v>39</v>
      </c>
      <c r="B596" s="295"/>
      <c r="C596" s="295"/>
      <c r="D596" s="295"/>
      <c r="E596" s="295"/>
      <c r="F596" s="295"/>
      <c r="G596" s="90">
        <f>SUM(G594:G594)</f>
        <v>0.26819999999999999</v>
      </c>
    </row>
    <row r="597" spans="1:9" x14ac:dyDescent="0.25">
      <c r="A597" s="295" t="s">
        <v>40</v>
      </c>
      <c r="B597" s="295"/>
      <c r="C597" s="295"/>
      <c r="D597" s="295"/>
      <c r="E597" s="295"/>
      <c r="F597" s="295"/>
      <c r="G597" s="90">
        <f>SUM(G592:G593)</f>
        <v>3.4260000000000002</v>
      </c>
    </row>
    <row r="598" spans="1:9" x14ac:dyDescent="0.25">
      <c r="A598" s="295" t="s">
        <v>41</v>
      </c>
      <c r="B598" s="295"/>
      <c r="C598" s="295"/>
      <c r="D598" s="295"/>
      <c r="E598" s="295"/>
      <c r="F598" s="44">
        <f>E9</f>
        <v>0.86599999999999999</v>
      </c>
      <c r="G598" s="90">
        <f>(F598)*G596</f>
        <v>0.2322612</v>
      </c>
    </row>
    <row r="599" spans="1:9" x14ac:dyDescent="0.25">
      <c r="A599" s="295" t="s">
        <v>42</v>
      </c>
      <c r="B599" s="295"/>
      <c r="C599" s="295"/>
      <c r="D599" s="295"/>
      <c r="E599" s="295"/>
      <c r="F599" s="44">
        <f>G10</f>
        <v>0.28349999999999997</v>
      </c>
      <c r="G599" s="90">
        <f>SUM(G596,G597,G598)*F599</f>
        <v>1.1131517501999999</v>
      </c>
    </row>
    <row r="600" spans="1:9" x14ac:dyDescent="0.25">
      <c r="A600" s="295" t="s">
        <v>43</v>
      </c>
      <c r="B600" s="295"/>
      <c r="C600" s="295"/>
      <c r="D600" s="295"/>
      <c r="E600" s="295"/>
      <c r="F600" s="295"/>
      <c r="G600" s="90">
        <f>SUM(G596:G599)</f>
        <v>5.0396129502000004</v>
      </c>
    </row>
    <row r="601" spans="1:9" x14ac:dyDescent="0.25">
      <c r="A601" s="295" t="s">
        <v>44</v>
      </c>
      <c r="B601" s="295"/>
      <c r="C601" s="295"/>
      <c r="D601" s="295"/>
      <c r="E601" s="295"/>
      <c r="F601" s="295"/>
      <c r="G601" s="91">
        <f>TRUNC(G599+G600,2)+0.01</f>
        <v>6.16</v>
      </c>
      <c r="H601" s="17">
        <v>6.26</v>
      </c>
      <c r="I601" s="25">
        <f>G601-H601</f>
        <v>-9.9999999999999645E-2</v>
      </c>
    </row>
    <row r="602" spans="1:9" x14ac:dyDescent="0.25">
      <c r="A602" s="46"/>
      <c r="B602" s="46"/>
      <c r="C602" s="46"/>
      <c r="D602" s="46"/>
      <c r="E602" s="46"/>
      <c r="F602" s="46"/>
      <c r="G602" s="47"/>
    </row>
    <row r="603" spans="1:9" x14ac:dyDescent="0.25">
      <c r="A603" s="46"/>
      <c r="B603" s="196" t="s">
        <v>45</v>
      </c>
      <c r="C603" s="296" t="s">
        <v>59</v>
      </c>
      <c r="D603" s="296"/>
      <c r="E603" s="296"/>
      <c r="F603" s="46"/>
      <c r="G603" s="47"/>
    </row>
    <row r="604" spans="1:9" x14ac:dyDescent="0.25">
      <c r="A604" s="46"/>
      <c r="B604" s="196" t="s">
        <v>46</v>
      </c>
      <c r="C604" s="297" t="s">
        <v>60</v>
      </c>
      <c r="D604" s="297"/>
      <c r="E604" s="297"/>
      <c r="F604" s="46"/>
      <c r="G604" s="47"/>
    </row>
    <row r="605" spans="1:9" x14ac:dyDescent="0.25">
      <c r="A605" s="46"/>
      <c r="B605" s="196"/>
      <c r="C605" s="195"/>
      <c r="D605" s="195"/>
      <c r="E605" s="195"/>
      <c r="F605" s="46"/>
      <c r="G605" s="47"/>
    </row>
    <row r="606" spans="1:9" ht="36" x14ac:dyDescent="0.25">
      <c r="A606" s="236" t="s">
        <v>287</v>
      </c>
      <c r="B606" s="237" t="s">
        <v>315</v>
      </c>
      <c r="C606" s="20" t="s">
        <v>50</v>
      </c>
      <c r="D606" s="35" t="s">
        <v>36</v>
      </c>
      <c r="E606" s="21" t="s">
        <v>51</v>
      </c>
      <c r="F606" s="22" t="s">
        <v>52</v>
      </c>
      <c r="G606" s="22" t="s">
        <v>49</v>
      </c>
    </row>
    <row r="607" spans="1:9" ht="18" x14ac:dyDescent="0.25">
      <c r="A607" s="18"/>
      <c r="B607" s="238" t="s">
        <v>372</v>
      </c>
      <c r="C607" s="257" t="s">
        <v>35</v>
      </c>
      <c r="D607" s="85" t="s">
        <v>9</v>
      </c>
      <c r="E607" s="87">
        <v>1</v>
      </c>
      <c r="F607" s="87">
        <v>37.200000000000003</v>
      </c>
      <c r="G607" s="256">
        <f>E607*F607</f>
        <v>37.200000000000003</v>
      </c>
    </row>
    <row r="608" spans="1:9" ht="18" x14ac:dyDescent="0.25">
      <c r="A608" s="18"/>
      <c r="B608" s="258" t="s">
        <v>373</v>
      </c>
      <c r="C608" s="41" t="s">
        <v>35</v>
      </c>
      <c r="D608" s="24" t="s">
        <v>9</v>
      </c>
      <c r="E608" s="114">
        <v>1</v>
      </c>
      <c r="F608" s="114">
        <v>4.83</v>
      </c>
      <c r="G608" s="82">
        <f>E608*F608</f>
        <v>4.83</v>
      </c>
    </row>
    <row r="609" spans="1:9" ht="18" x14ac:dyDescent="0.25">
      <c r="A609" s="18"/>
      <c r="B609" s="258" t="s">
        <v>374</v>
      </c>
      <c r="C609" s="41" t="s">
        <v>35</v>
      </c>
      <c r="D609" s="24" t="s">
        <v>9</v>
      </c>
      <c r="E609" s="114">
        <v>7.0000000000000007E-2</v>
      </c>
      <c r="F609" s="114">
        <v>12.9</v>
      </c>
      <c r="G609" s="82">
        <f>E609*F609</f>
        <v>0.90300000000000014</v>
      </c>
    </row>
    <row r="610" spans="1:9" ht="18" x14ac:dyDescent="0.25">
      <c r="A610" s="18"/>
      <c r="B610" s="111" t="s">
        <v>367</v>
      </c>
      <c r="C610" s="24" t="s">
        <v>37</v>
      </c>
      <c r="D610" s="24" t="s">
        <v>38</v>
      </c>
      <c r="E610" s="114">
        <v>0.17</v>
      </c>
      <c r="F610" s="114">
        <v>5.6</v>
      </c>
      <c r="G610" s="114">
        <f>E610*F610</f>
        <v>0.95199999999999996</v>
      </c>
    </row>
    <row r="611" spans="1:9" ht="27" x14ac:dyDescent="0.25">
      <c r="A611" s="18"/>
      <c r="B611" s="111" t="s">
        <v>371</v>
      </c>
      <c r="C611" s="24" t="s">
        <v>37</v>
      </c>
      <c r="D611" s="24" t="s">
        <v>38</v>
      </c>
      <c r="E611" s="114">
        <v>0.17</v>
      </c>
      <c r="F611" s="114">
        <v>4.47</v>
      </c>
      <c r="G611" s="114">
        <f>E611*F611</f>
        <v>0.75990000000000002</v>
      </c>
    </row>
    <row r="612" spans="1:9" x14ac:dyDescent="0.25">
      <c r="A612" s="18"/>
      <c r="B612" s="40"/>
      <c r="C612" s="41"/>
      <c r="D612" s="41"/>
      <c r="E612" s="42"/>
      <c r="F612" s="43"/>
      <c r="G612" s="43"/>
    </row>
    <row r="613" spans="1:9" x14ac:dyDescent="0.25">
      <c r="A613" s="295" t="s">
        <v>39</v>
      </c>
      <c r="B613" s="295"/>
      <c r="C613" s="295"/>
      <c r="D613" s="295"/>
      <c r="E613" s="295"/>
      <c r="F613" s="295"/>
      <c r="G613" s="90">
        <f>SUM(G610:G611)</f>
        <v>1.7119</v>
      </c>
    </row>
    <row r="614" spans="1:9" x14ac:dyDescent="0.25">
      <c r="A614" s="295" t="s">
        <v>40</v>
      </c>
      <c r="B614" s="295"/>
      <c r="C614" s="295"/>
      <c r="D614" s="295"/>
      <c r="E614" s="295"/>
      <c r="F614" s="295"/>
      <c r="G614" s="90">
        <f>SUM(G607:G609)</f>
        <v>42.933</v>
      </c>
    </row>
    <row r="615" spans="1:9" x14ac:dyDescent="0.25">
      <c r="A615" s="295" t="s">
        <v>41</v>
      </c>
      <c r="B615" s="295"/>
      <c r="C615" s="295"/>
      <c r="D615" s="295"/>
      <c r="E615" s="295"/>
      <c r="F615" s="44">
        <f>E9</f>
        <v>0.86599999999999999</v>
      </c>
      <c r="G615" s="90">
        <f>(F615)*G613</f>
        <v>1.4825054</v>
      </c>
    </row>
    <row r="616" spans="1:9" x14ac:dyDescent="0.25">
      <c r="A616" s="295" t="s">
        <v>42</v>
      </c>
      <c r="B616" s="295"/>
      <c r="C616" s="295"/>
      <c r="D616" s="295"/>
      <c r="E616" s="295"/>
      <c r="F616" s="44">
        <f>G10</f>
        <v>0.28349999999999997</v>
      </c>
      <c r="G616" s="90">
        <f>SUM(G613,G614,G615)*F616</f>
        <v>13.0771194309</v>
      </c>
    </row>
    <row r="617" spans="1:9" x14ac:dyDescent="0.25">
      <c r="A617" s="295" t="s">
        <v>43</v>
      </c>
      <c r="B617" s="295"/>
      <c r="C617" s="295"/>
      <c r="D617" s="295"/>
      <c r="E617" s="295"/>
      <c r="F617" s="295"/>
      <c r="G617" s="90">
        <f>SUM(G613:G616)</f>
        <v>59.204524830899999</v>
      </c>
    </row>
    <row r="618" spans="1:9" x14ac:dyDescent="0.25">
      <c r="A618" s="295" t="s">
        <v>44</v>
      </c>
      <c r="B618" s="295"/>
      <c r="C618" s="295"/>
      <c r="D618" s="295"/>
      <c r="E618" s="295"/>
      <c r="F618" s="295"/>
      <c r="G618" s="91">
        <f>TRUNC(G616+G617,2)+0.01</f>
        <v>72.290000000000006</v>
      </c>
      <c r="H618" s="17">
        <v>72.290000000000006</v>
      </c>
      <c r="I618" s="25">
        <f>G618-H618</f>
        <v>0</v>
      </c>
    </row>
    <row r="619" spans="1:9" x14ac:dyDescent="0.25">
      <c r="A619" s="46"/>
      <c r="B619" s="46"/>
      <c r="C619" s="46"/>
      <c r="D619" s="46"/>
      <c r="E619" s="46"/>
      <c r="F619" s="46"/>
      <c r="G619" s="47"/>
    </row>
    <row r="620" spans="1:9" x14ac:dyDescent="0.25">
      <c r="A620" s="46"/>
      <c r="B620" s="196" t="s">
        <v>45</v>
      </c>
      <c r="C620" s="296" t="s">
        <v>59</v>
      </c>
      <c r="D620" s="296"/>
      <c r="E620" s="296"/>
      <c r="F620" s="46"/>
      <c r="G620" s="47"/>
    </row>
    <row r="621" spans="1:9" x14ac:dyDescent="0.25">
      <c r="A621" s="46"/>
      <c r="B621" s="196" t="s">
        <v>46</v>
      </c>
      <c r="C621" s="297" t="s">
        <v>60</v>
      </c>
      <c r="D621" s="297"/>
      <c r="E621" s="297"/>
      <c r="F621" s="46"/>
      <c r="G621" s="47"/>
    </row>
    <row r="622" spans="1:9" x14ac:dyDescent="0.25">
      <c r="A622" s="46"/>
      <c r="B622" s="196"/>
      <c r="C622" s="195"/>
      <c r="D622" s="195"/>
      <c r="E622" s="195"/>
      <c r="F622" s="46"/>
      <c r="G622" s="47"/>
    </row>
    <row r="623" spans="1:9" ht="27" x14ac:dyDescent="0.25">
      <c r="A623" s="236" t="s">
        <v>288</v>
      </c>
      <c r="B623" s="237" t="s">
        <v>316</v>
      </c>
      <c r="C623" s="20" t="s">
        <v>50</v>
      </c>
      <c r="D623" s="35" t="s">
        <v>36</v>
      </c>
      <c r="E623" s="21" t="s">
        <v>51</v>
      </c>
      <c r="F623" s="22" t="s">
        <v>52</v>
      </c>
      <c r="G623" s="22" t="s">
        <v>49</v>
      </c>
    </row>
    <row r="624" spans="1:9" ht="18" x14ac:dyDescent="0.25">
      <c r="A624" s="18"/>
      <c r="B624" s="238" t="s">
        <v>317</v>
      </c>
      <c r="C624" s="85" t="s">
        <v>35</v>
      </c>
      <c r="D624" s="85" t="s">
        <v>9</v>
      </c>
      <c r="E624" s="87">
        <v>1</v>
      </c>
      <c r="F624" s="87">
        <v>41.5</v>
      </c>
      <c r="G624" s="87">
        <f>E624*F624</f>
        <v>41.5</v>
      </c>
    </row>
    <row r="625" spans="1:9" ht="18" x14ac:dyDescent="0.25">
      <c r="A625" s="18"/>
      <c r="B625" s="258" t="s">
        <v>373</v>
      </c>
      <c r="C625" s="41" t="s">
        <v>35</v>
      </c>
      <c r="D625" s="24" t="s">
        <v>9</v>
      </c>
      <c r="E625" s="114">
        <v>1</v>
      </c>
      <c r="F625" s="114">
        <v>4.83</v>
      </c>
      <c r="G625" s="82">
        <f>E625*F625</f>
        <v>4.83</v>
      </c>
    </row>
    <row r="626" spans="1:9" ht="18" x14ac:dyDescent="0.25">
      <c r="A626" s="18"/>
      <c r="B626" s="258" t="s">
        <v>374</v>
      </c>
      <c r="C626" s="41" t="s">
        <v>35</v>
      </c>
      <c r="D626" s="24" t="s">
        <v>9</v>
      </c>
      <c r="E626" s="114">
        <v>0.124</v>
      </c>
      <c r="F626" s="114">
        <v>12.9</v>
      </c>
      <c r="G626" s="82">
        <f>E626*F626</f>
        <v>1.5996000000000001</v>
      </c>
    </row>
    <row r="627" spans="1:9" ht="18" x14ac:dyDescent="0.25">
      <c r="A627" s="18"/>
      <c r="B627" s="111" t="s">
        <v>367</v>
      </c>
      <c r="C627" s="24" t="s">
        <v>37</v>
      </c>
      <c r="D627" s="24" t="s">
        <v>38</v>
      </c>
      <c r="E627" s="114">
        <v>0.2</v>
      </c>
      <c r="F627" s="114">
        <v>5.6</v>
      </c>
      <c r="G627" s="114">
        <f>E627*F627</f>
        <v>1.1199999999999999</v>
      </c>
    </row>
    <row r="628" spans="1:9" ht="27" x14ac:dyDescent="0.25">
      <c r="A628" s="18"/>
      <c r="B628" s="111" t="s">
        <v>371</v>
      </c>
      <c r="C628" s="24" t="s">
        <v>37</v>
      </c>
      <c r="D628" s="24" t="s">
        <v>38</v>
      </c>
      <c r="E628" s="114">
        <v>0.2</v>
      </c>
      <c r="F628" s="114">
        <v>4.47</v>
      </c>
      <c r="G628" s="114">
        <f>E628*F628</f>
        <v>0.89400000000000002</v>
      </c>
    </row>
    <row r="629" spans="1:9" x14ac:dyDescent="0.25">
      <c r="A629" s="18"/>
      <c r="B629" s="40"/>
      <c r="C629" s="41"/>
      <c r="D629" s="41"/>
      <c r="E629" s="42"/>
      <c r="F629" s="43"/>
      <c r="G629" s="43"/>
    </row>
    <row r="630" spans="1:9" x14ac:dyDescent="0.25">
      <c r="A630" s="295" t="s">
        <v>39</v>
      </c>
      <c r="B630" s="295"/>
      <c r="C630" s="295"/>
      <c r="D630" s="295"/>
      <c r="E630" s="295"/>
      <c r="F630" s="295"/>
      <c r="G630" s="90">
        <f>SUM(G627:G628)</f>
        <v>2.0139999999999998</v>
      </c>
    </row>
    <row r="631" spans="1:9" x14ac:dyDescent="0.25">
      <c r="A631" s="295" t="s">
        <v>40</v>
      </c>
      <c r="B631" s="295"/>
      <c r="C631" s="295"/>
      <c r="D631" s="295"/>
      <c r="E631" s="295"/>
      <c r="F631" s="295"/>
      <c r="G631" s="90">
        <f>SUM(G624:G626)</f>
        <v>47.929600000000001</v>
      </c>
    </row>
    <row r="632" spans="1:9" x14ac:dyDescent="0.25">
      <c r="A632" s="295" t="s">
        <v>41</v>
      </c>
      <c r="B632" s="295"/>
      <c r="C632" s="295"/>
      <c r="D632" s="295"/>
      <c r="E632" s="295"/>
      <c r="F632" s="44">
        <f>E9</f>
        <v>0.86599999999999999</v>
      </c>
      <c r="G632" s="90">
        <f>(F632)*G630</f>
        <v>1.7441239999999998</v>
      </c>
    </row>
    <row r="633" spans="1:9" x14ac:dyDescent="0.25">
      <c r="A633" s="295" t="s">
        <v>42</v>
      </c>
      <c r="B633" s="295"/>
      <c r="C633" s="295"/>
      <c r="D633" s="295"/>
      <c r="E633" s="295"/>
      <c r="F633" s="44">
        <f>G10</f>
        <v>0.28349999999999997</v>
      </c>
      <c r="G633" s="90">
        <f>SUM(G630,G631,G632)*F633</f>
        <v>14.653469754</v>
      </c>
    </row>
    <row r="634" spans="1:9" x14ac:dyDescent="0.25">
      <c r="A634" s="295" t="s">
        <v>43</v>
      </c>
      <c r="B634" s="295"/>
      <c r="C634" s="295"/>
      <c r="D634" s="295"/>
      <c r="E634" s="295"/>
      <c r="F634" s="295"/>
      <c r="G634" s="90">
        <f>SUM(G630:G633)</f>
        <v>66.341193754000003</v>
      </c>
    </row>
    <row r="635" spans="1:9" x14ac:dyDescent="0.25">
      <c r="A635" s="295" t="s">
        <v>44</v>
      </c>
      <c r="B635" s="295"/>
      <c r="C635" s="295"/>
      <c r="D635" s="295"/>
      <c r="E635" s="295"/>
      <c r="F635" s="295"/>
      <c r="G635" s="91">
        <f>TRUNC(G633+G634,2)+0.03</f>
        <v>81.02</v>
      </c>
      <c r="H635" s="17">
        <v>81</v>
      </c>
      <c r="I635" s="25">
        <f>G635-H635</f>
        <v>1.9999999999996021E-2</v>
      </c>
    </row>
    <row r="636" spans="1:9" x14ac:dyDescent="0.25">
      <c r="A636" s="46"/>
      <c r="B636" s="46"/>
      <c r="C636" s="46"/>
      <c r="D636" s="46"/>
      <c r="E636" s="46"/>
      <c r="F636" s="46"/>
      <c r="G636" s="47"/>
    </row>
    <row r="637" spans="1:9" x14ac:dyDescent="0.25">
      <c r="A637" s="46"/>
      <c r="B637" s="196" t="s">
        <v>45</v>
      </c>
      <c r="C637" s="296" t="s">
        <v>59</v>
      </c>
      <c r="D637" s="296"/>
      <c r="E637" s="296"/>
      <c r="F637" s="46"/>
      <c r="G637" s="47"/>
    </row>
    <row r="638" spans="1:9" x14ac:dyDescent="0.25">
      <c r="A638" s="46"/>
      <c r="B638" s="196" t="s">
        <v>46</v>
      </c>
      <c r="C638" s="297" t="s">
        <v>60</v>
      </c>
      <c r="D638" s="297"/>
      <c r="E638" s="297"/>
      <c r="F638" s="46"/>
      <c r="G638" s="47"/>
    </row>
    <row r="639" spans="1:9" x14ac:dyDescent="0.25">
      <c r="A639" s="46"/>
      <c r="B639" s="196"/>
      <c r="C639" s="195"/>
      <c r="D639" s="195"/>
      <c r="E639" s="195"/>
      <c r="F639" s="46"/>
      <c r="G639" s="47"/>
    </row>
    <row r="640" spans="1:9" ht="54" customHeight="1" x14ac:dyDescent="0.25">
      <c r="A640" s="236" t="s">
        <v>289</v>
      </c>
      <c r="B640" s="275" t="s">
        <v>501</v>
      </c>
      <c r="C640" s="20" t="s">
        <v>50</v>
      </c>
      <c r="D640" s="35" t="s">
        <v>36</v>
      </c>
      <c r="E640" s="21" t="s">
        <v>51</v>
      </c>
      <c r="F640" s="22" t="s">
        <v>52</v>
      </c>
      <c r="G640" s="22" t="s">
        <v>49</v>
      </c>
    </row>
    <row r="641" spans="1:9" ht="36" x14ac:dyDescent="0.25">
      <c r="A641" s="18" t="s">
        <v>452</v>
      </c>
      <c r="B641" s="238" t="s">
        <v>451</v>
      </c>
      <c r="C641" s="257" t="s">
        <v>35</v>
      </c>
      <c r="D641" s="85" t="s">
        <v>18</v>
      </c>
      <c r="E641" s="277">
        <v>6.88E-2</v>
      </c>
      <c r="F641" s="87">
        <f>G669</f>
        <v>196.5308</v>
      </c>
      <c r="G641" s="87">
        <f>E641*F641</f>
        <v>13.52131904</v>
      </c>
    </row>
    <row r="642" spans="1:9" ht="27" x14ac:dyDescent="0.25">
      <c r="A642" s="18" t="s">
        <v>453</v>
      </c>
      <c r="B642" s="258" t="s">
        <v>375</v>
      </c>
      <c r="C642" s="41" t="s">
        <v>35</v>
      </c>
      <c r="D642" s="24" t="s">
        <v>18</v>
      </c>
      <c r="E642" s="113">
        <v>1.4E-2</v>
      </c>
      <c r="F642" s="114">
        <f>G677</f>
        <v>357.27539999999999</v>
      </c>
      <c r="G642" s="114">
        <f>E642*F642</f>
        <v>5.0018555999999998</v>
      </c>
    </row>
    <row r="643" spans="1:9" ht="18" x14ac:dyDescent="0.25">
      <c r="A643" s="18"/>
      <c r="B643" s="258" t="s">
        <v>376</v>
      </c>
      <c r="C643" s="41" t="s">
        <v>35</v>
      </c>
      <c r="D643" s="24" t="s">
        <v>12</v>
      </c>
      <c r="E643" s="114">
        <v>1.4</v>
      </c>
      <c r="F643" s="114">
        <v>3.8</v>
      </c>
      <c r="G643" s="114">
        <f t="shared" ref="G643:G646" si="20">E643*F643</f>
        <v>5.3199999999999994</v>
      </c>
    </row>
    <row r="644" spans="1:9" ht="27" x14ac:dyDescent="0.25">
      <c r="A644" s="18"/>
      <c r="B644" s="258" t="s">
        <v>377</v>
      </c>
      <c r="C644" s="41" t="s">
        <v>35</v>
      </c>
      <c r="D644" s="24" t="s">
        <v>12</v>
      </c>
      <c r="E644" s="114">
        <v>0.66</v>
      </c>
      <c r="F644" s="114">
        <v>3.09</v>
      </c>
      <c r="G644" s="114">
        <f t="shared" si="20"/>
        <v>2.0394000000000001</v>
      </c>
    </row>
    <row r="645" spans="1:9" x14ac:dyDescent="0.25">
      <c r="A645" s="18"/>
      <c r="B645" s="258" t="s">
        <v>378</v>
      </c>
      <c r="C645" s="41" t="s">
        <v>35</v>
      </c>
      <c r="D645" s="24" t="s">
        <v>48</v>
      </c>
      <c r="E645" s="114">
        <v>0.2</v>
      </c>
      <c r="F645" s="114">
        <v>6.5</v>
      </c>
      <c r="G645" s="114">
        <f t="shared" si="20"/>
        <v>1.3</v>
      </c>
    </row>
    <row r="646" spans="1:9" ht="18" x14ac:dyDescent="0.25">
      <c r="A646" s="18"/>
      <c r="B646" s="258" t="s">
        <v>379</v>
      </c>
      <c r="C646" s="24" t="s">
        <v>35</v>
      </c>
      <c r="D646" s="24" t="s">
        <v>12</v>
      </c>
      <c r="E646" s="114">
        <v>1.1200000000000001</v>
      </c>
      <c r="F646" s="114">
        <v>5.2</v>
      </c>
      <c r="G646" s="114">
        <f t="shared" si="20"/>
        <v>5.8240000000000007</v>
      </c>
    </row>
    <row r="647" spans="1:9" x14ac:dyDescent="0.25">
      <c r="A647" s="18"/>
      <c r="B647" s="111" t="s">
        <v>355</v>
      </c>
      <c r="C647" s="24" t="s">
        <v>37</v>
      </c>
      <c r="D647" s="24" t="s">
        <v>38</v>
      </c>
      <c r="E647" s="114">
        <v>0.9</v>
      </c>
      <c r="F647" s="114">
        <v>5.6</v>
      </c>
      <c r="G647" s="114">
        <f>E647*F647</f>
        <v>5.04</v>
      </c>
    </row>
    <row r="648" spans="1:9" ht="18" x14ac:dyDescent="0.25">
      <c r="A648" s="18"/>
      <c r="B648" s="111" t="s">
        <v>380</v>
      </c>
      <c r="C648" s="24" t="s">
        <v>37</v>
      </c>
      <c r="D648" s="24" t="s">
        <v>38</v>
      </c>
      <c r="E648" s="114">
        <v>1.2</v>
      </c>
      <c r="F648" s="114">
        <v>5.6</v>
      </c>
      <c r="G648" s="114">
        <f>E648*F648</f>
        <v>6.72</v>
      </c>
    </row>
    <row r="649" spans="1:9" x14ac:dyDescent="0.25">
      <c r="A649" s="18"/>
      <c r="B649" s="111" t="s">
        <v>344</v>
      </c>
      <c r="C649" s="24" t="s">
        <v>37</v>
      </c>
      <c r="D649" s="24" t="s">
        <v>38</v>
      </c>
      <c r="E649" s="114">
        <v>2</v>
      </c>
      <c r="F649" s="114">
        <v>4.47</v>
      </c>
      <c r="G649" s="114">
        <f>E649*F649</f>
        <v>8.94</v>
      </c>
    </row>
    <row r="650" spans="1:9" x14ac:dyDescent="0.25">
      <c r="A650" s="18"/>
      <c r="B650" s="40"/>
      <c r="C650" s="41"/>
      <c r="D650" s="41"/>
      <c r="E650" s="42"/>
      <c r="F650" s="43"/>
      <c r="G650" s="43"/>
    </row>
    <row r="651" spans="1:9" x14ac:dyDescent="0.25">
      <c r="A651" s="295" t="s">
        <v>39</v>
      </c>
      <c r="B651" s="295"/>
      <c r="C651" s="295"/>
      <c r="D651" s="295"/>
      <c r="E651" s="295"/>
      <c r="F651" s="295"/>
      <c r="G651" s="90">
        <f>SUM(G647:G649)</f>
        <v>20.7</v>
      </c>
    </row>
    <row r="652" spans="1:9" x14ac:dyDescent="0.25">
      <c r="A652" s="295" t="s">
        <v>40</v>
      </c>
      <c r="B652" s="295"/>
      <c r="C652" s="295"/>
      <c r="D652" s="295"/>
      <c r="E652" s="295"/>
      <c r="F652" s="295"/>
      <c r="G652" s="90">
        <f>SUM(G641:G646)</f>
        <v>33.006574640000004</v>
      </c>
    </row>
    <row r="653" spans="1:9" x14ac:dyDescent="0.25">
      <c r="A653" s="295" t="s">
        <v>41</v>
      </c>
      <c r="B653" s="295"/>
      <c r="C653" s="295"/>
      <c r="D653" s="295"/>
      <c r="E653" s="295"/>
      <c r="F653" s="44">
        <f>E9</f>
        <v>0.86599999999999999</v>
      </c>
      <c r="G653" s="90">
        <f>(F653)*G651</f>
        <v>17.926199999999998</v>
      </c>
    </row>
    <row r="654" spans="1:9" x14ac:dyDescent="0.25">
      <c r="A654" s="295" t="s">
        <v>42</v>
      </c>
      <c r="B654" s="295"/>
      <c r="C654" s="295"/>
      <c r="D654" s="295"/>
      <c r="E654" s="295"/>
      <c r="F654" s="44">
        <f>G10</f>
        <v>0.28349999999999997</v>
      </c>
      <c r="G654" s="90">
        <f>SUM(G651,G652,G653)*F654</f>
        <v>20.307891610439995</v>
      </c>
    </row>
    <row r="655" spans="1:9" x14ac:dyDescent="0.25">
      <c r="A655" s="295" t="s">
        <v>43</v>
      </c>
      <c r="B655" s="295"/>
      <c r="C655" s="295"/>
      <c r="D655" s="295"/>
      <c r="E655" s="295"/>
      <c r="F655" s="295"/>
      <c r="G655" s="90">
        <f>SUM(G651:G654)</f>
        <v>91.940666250439989</v>
      </c>
    </row>
    <row r="656" spans="1:9" x14ac:dyDescent="0.25">
      <c r="A656" s="295" t="s">
        <v>44</v>
      </c>
      <c r="B656" s="295"/>
      <c r="C656" s="295"/>
      <c r="D656" s="295"/>
      <c r="E656" s="295"/>
      <c r="F656" s="295"/>
      <c r="G656" s="264">
        <f>TRUNC(G654+G655,2)+0.01</f>
        <v>112.25</v>
      </c>
      <c r="H656" s="17">
        <v>112.45</v>
      </c>
      <c r="I656" s="25">
        <f>G656-H656</f>
        <v>-0.20000000000000284</v>
      </c>
    </row>
    <row r="657" spans="1:8" x14ac:dyDescent="0.25">
      <c r="A657" s="46"/>
      <c r="B657" s="46"/>
      <c r="C657" s="46"/>
      <c r="D657" s="46"/>
      <c r="E657" s="46"/>
      <c r="F657" s="46"/>
      <c r="G657" s="241"/>
    </row>
    <row r="658" spans="1:8" ht="36" x14ac:dyDescent="0.25">
      <c r="A658" s="38">
        <v>94962</v>
      </c>
      <c r="B658" s="39" t="s">
        <v>451</v>
      </c>
      <c r="C658" s="20" t="s">
        <v>50</v>
      </c>
      <c r="D658" s="35" t="s">
        <v>36</v>
      </c>
      <c r="E658" s="21" t="s">
        <v>51</v>
      </c>
      <c r="F658" s="22" t="s">
        <v>52</v>
      </c>
      <c r="G658" s="22" t="s">
        <v>49</v>
      </c>
    </row>
    <row r="659" spans="1:8" ht="18" x14ac:dyDescent="0.25">
      <c r="A659" s="18"/>
      <c r="B659" s="80" t="s">
        <v>456</v>
      </c>
      <c r="C659" s="41" t="s">
        <v>35</v>
      </c>
      <c r="D659" s="41" t="s">
        <v>18</v>
      </c>
      <c r="E659" s="81">
        <v>0.6</v>
      </c>
      <c r="F659" s="82">
        <v>45</v>
      </c>
      <c r="G659" s="82">
        <f>E659*F659</f>
        <v>27</v>
      </c>
    </row>
    <row r="660" spans="1:8" x14ac:dyDescent="0.25">
      <c r="A660" s="18"/>
      <c r="B660" s="80" t="s">
        <v>353</v>
      </c>
      <c r="C660" s="41" t="s">
        <v>35</v>
      </c>
      <c r="D660" s="41" t="s">
        <v>48</v>
      </c>
      <c r="E660" s="82">
        <v>212.21</v>
      </c>
      <c r="F660" s="82">
        <v>0.57999999999999996</v>
      </c>
      <c r="G660" s="82">
        <f t="shared" ref="G660:G663" si="21">E660*F660</f>
        <v>123.0818</v>
      </c>
      <c r="H660" s="17" t="s">
        <v>457</v>
      </c>
    </row>
    <row r="661" spans="1:8" ht="18" x14ac:dyDescent="0.25">
      <c r="A661" s="18"/>
      <c r="B661" s="80" t="s">
        <v>458</v>
      </c>
      <c r="C661" s="41" t="s">
        <v>35</v>
      </c>
      <c r="D661" s="41" t="s">
        <v>18</v>
      </c>
      <c r="E661" s="81">
        <v>0.4</v>
      </c>
      <c r="F661" s="82">
        <v>65.790000000000006</v>
      </c>
      <c r="G661" s="82">
        <f t="shared" si="21"/>
        <v>26.316000000000003</v>
      </c>
    </row>
    <row r="662" spans="1:8" ht="36" x14ac:dyDescent="0.25">
      <c r="A662" s="18"/>
      <c r="B662" s="80" t="s">
        <v>455</v>
      </c>
      <c r="C662" s="41" t="s">
        <v>35</v>
      </c>
      <c r="D662" s="41" t="s">
        <v>38</v>
      </c>
      <c r="E662" s="81">
        <v>0.215</v>
      </c>
      <c r="F662" s="82">
        <v>66</v>
      </c>
      <c r="G662" s="82">
        <f t="shared" si="21"/>
        <v>14.19</v>
      </c>
    </row>
    <row r="663" spans="1:8" ht="36" x14ac:dyDescent="0.25">
      <c r="A663" s="18"/>
      <c r="B663" s="80" t="s">
        <v>454</v>
      </c>
      <c r="C663" s="41" t="s">
        <v>64</v>
      </c>
      <c r="D663" s="41" t="s">
        <v>38</v>
      </c>
      <c r="E663" s="81">
        <v>0.4</v>
      </c>
      <c r="F663" s="82">
        <v>2.27</v>
      </c>
      <c r="G663" s="82">
        <f t="shared" si="21"/>
        <v>0.90800000000000003</v>
      </c>
    </row>
    <row r="664" spans="1:8" x14ac:dyDescent="0.25">
      <c r="A664" s="18"/>
      <c r="B664" s="95" t="s">
        <v>362</v>
      </c>
      <c r="C664" s="41" t="s">
        <v>37</v>
      </c>
      <c r="D664" s="41" t="s">
        <v>38</v>
      </c>
      <c r="E664" s="233">
        <v>0.5</v>
      </c>
      <c r="F664" s="82">
        <v>4.47</v>
      </c>
      <c r="G664" s="82">
        <f>E664*F664</f>
        <v>2.2349999999999999</v>
      </c>
    </row>
    <row r="665" spans="1:8" x14ac:dyDescent="0.25">
      <c r="A665" s="18"/>
      <c r="B665" s="95" t="s">
        <v>363</v>
      </c>
      <c r="C665" s="41" t="s">
        <v>37</v>
      </c>
      <c r="D665" s="41" t="s">
        <v>38</v>
      </c>
      <c r="E665" s="233">
        <v>0.5</v>
      </c>
      <c r="F665" s="82">
        <v>5.6</v>
      </c>
      <c r="G665" s="82">
        <f>E665*F665</f>
        <v>2.8</v>
      </c>
    </row>
    <row r="666" spans="1:8" x14ac:dyDescent="0.25">
      <c r="A666" s="295" t="s">
        <v>39</v>
      </c>
      <c r="B666" s="295"/>
      <c r="C666" s="295"/>
      <c r="D666" s="295"/>
      <c r="E666" s="295"/>
      <c r="F666" s="295"/>
      <c r="G666" s="90">
        <f>SUM(G664:G665)</f>
        <v>5.0350000000000001</v>
      </c>
    </row>
    <row r="667" spans="1:8" x14ac:dyDescent="0.25">
      <c r="A667" s="295" t="s">
        <v>65</v>
      </c>
      <c r="B667" s="295"/>
      <c r="C667" s="295"/>
      <c r="D667" s="295"/>
      <c r="E667" s="295"/>
      <c r="F667" s="295"/>
      <c r="G667" s="90">
        <f>SUM(G663)</f>
        <v>0.90800000000000003</v>
      </c>
    </row>
    <row r="668" spans="1:8" x14ac:dyDescent="0.25">
      <c r="A668" s="295" t="s">
        <v>40</v>
      </c>
      <c r="B668" s="295"/>
      <c r="C668" s="295"/>
      <c r="D668" s="295"/>
      <c r="E668" s="295"/>
      <c r="F668" s="295"/>
      <c r="G668" s="90">
        <f>SUM(G659:G662)</f>
        <v>190.58779999999999</v>
      </c>
    </row>
    <row r="669" spans="1:8" x14ac:dyDescent="0.25">
      <c r="A669" s="295" t="s">
        <v>364</v>
      </c>
      <c r="B669" s="295"/>
      <c r="C669" s="295"/>
      <c r="D669" s="295"/>
      <c r="E669" s="295"/>
      <c r="F669" s="295"/>
      <c r="G669" s="91">
        <f>SUM(G666:G668)</f>
        <v>196.5308</v>
      </c>
    </row>
    <row r="670" spans="1:8" x14ac:dyDescent="0.25">
      <c r="A670" s="46"/>
      <c r="B670" s="46"/>
      <c r="C670" s="46"/>
      <c r="D670" s="46"/>
      <c r="E670" s="46"/>
      <c r="F670" s="46"/>
      <c r="G670" s="241"/>
    </row>
    <row r="671" spans="1:8" ht="27" x14ac:dyDescent="0.25">
      <c r="A671" s="38">
        <v>87373</v>
      </c>
      <c r="B671" s="39" t="s">
        <v>381</v>
      </c>
      <c r="C671" s="20" t="s">
        <v>50</v>
      </c>
      <c r="D671" s="35" t="s">
        <v>36</v>
      </c>
      <c r="E671" s="21" t="s">
        <v>51</v>
      </c>
      <c r="F671" s="22" t="s">
        <v>52</v>
      </c>
      <c r="G671" s="22" t="s">
        <v>49</v>
      </c>
    </row>
    <row r="672" spans="1:8" ht="18" x14ac:dyDescent="0.25">
      <c r="A672" s="18"/>
      <c r="B672" s="80" t="s">
        <v>352</v>
      </c>
      <c r="C672" s="41" t="s">
        <v>35</v>
      </c>
      <c r="D672" s="41" t="s">
        <v>18</v>
      </c>
      <c r="E672" s="81">
        <v>1.2</v>
      </c>
      <c r="F672" s="82">
        <v>45</v>
      </c>
      <c r="G672" s="82">
        <f>E672*F672</f>
        <v>54</v>
      </c>
    </row>
    <row r="673" spans="1:7" x14ac:dyDescent="0.25">
      <c r="A673" s="18"/>
      <c r="B673" s="80" t="s">
        <v>353</v>
      </c>
      <c r="C673" s="41" t="s">
        <v>35</v>
      </c>
      <c r="D673" s="41" t="s">
        <v>48</v>
      </c>
      <c r="E673" s="82">
        <v>435.03</v>
      </c>
      <c r="F673" s="82">
        <v>0.57999999999999996</v>
      </c>
      <c r="G673" s="82">
        <f t="shared" ref="G673" si="22">E673*F673</f>
        <v>252.31739999999996</v>
      </c>
    </row>
    <row r="674" spans="1:7" x14ac:dyDescent="0.25">
      <c r="A674" s="18"/>
      <c r="B674" s="95" t="s">
        <v>344</v>
      </c>
      <c r="C674" s="41" t="s">
        <v>37</v>
      </c>
      <c r="D674" s="41" t="s">
        <v>38</v>
      </c>
      <c r="E674" s="233">
        <v>11.4</v>
      </c>
      <c r="F674" s="82">
        <v>4.47</v>
      </c>
      <c r="G674" s="82">
        <f>E674*F674</f>
        <v>50.957999999999998</v>
      </c>
    </row>
    <row r="675" spans="1:7" x14ac:dyDescent="0.25">
      <c r="A675" s="295" t="s">
        <v>39</v>
      </c>
      <c r="B675" s="295"/>
      <c r="C675" s="295"/>
      <c r="D675" s="295"/>
      <c r="E675" s="295"/>
      <c r="F675" s="295"/>
      <c r="G675" s="90">
        <f>SUM(G674:G674)</f>
        <v>50.957999999999998</v>
      </c>
    </row>
    <row r="676" spans="1:7" x14ac:dyDescent="0.25">
      <c r="A676" s="295" t="s">
        <v>40</v>
      </c>
      <c r="B676" s="295"/>
      <c r="C676" s="295"/>
      <c r="D676" s="295"/>
      <c r="E676" s="295"/>
      <c r="F676" s="295"/>
      <c r="G676" s="90">
        <f>SUM(G672:G673)</f>
        <v>306.31739999999996</v>
      </c>
    </row>
    <row r="677" spans="1:7" x14ac:dyDescent="0.25">
      <c r="A677" s="295" t="s">
        <v>364</v>
      </c>
      <c r="B677" s="295"/>
      <c r="C677" s="295"/>
      <c r="D677" s="295"/>
      <c r="E677" s="295"/>
      <c r="F677" s="295"/>
      <c r="G677" s="91">
        <f>SUM(G675:G676)</f>
        <v>357.27539999999999</v>
      </c>
    </row>
    <row r="678" spans="1:7" x14ac:dyDescent="0.25">
      <c r="A678" s="46"/>
      <c r="B678" s="46"/>
      <c r="C678" s="46"/>
      <c r="D678" s="46"/>
      <c r="E678" s="46"/>
      <c r="F678" s="46"/>
      <c r="G678" s="241"/>
    </row>
    <row r="679" spans="1:7" x14ac:dyDescent="0.25">
      <c r="A679" s="46"/>
      <c r="B679" s="46"/>
      <c r="C679" s="46"/>
      <c r="D679" s="46"/>
      <c r="E679" s="46"/>
      <c r="F679" s="46"/>
      <c r="G679" s="47"/>
    </row>
    <row r="680" spans="1:7" x14ac:dyDescent="0.25">
      <c r="A680" s="46"/>
      <c r="B680" s="196" t="s">
        <v>45</v>
      </c>
      <c r="C680" s="296" t="s">
        <v>59</v>
      </c>
      <c r="D680" s="296"/>
      <c r="E680" s="296"/>
      <c r="F680" s="46"/>
      <c r="G680" s="47"/>
    </row>
    <row r="681" spans="1:7" x14ac:dyDescent="0.25">
      <c r="A681" s="46"/>
      <c r="B681" s="196" t="s">
        <v>46</v>
      </c>
      <c r="C681" s="297" t="s">
        <v>60</v>
      </c>
      <c r="D681" s="297"/>
      <c r="E681" s="297"/>
      <c r="F681" s="46"/>
      <c r="G681" s="47"/>
    </row>
    <row r="682" spans="1:7" x14ac:dyDescent="0.25">
      <c r="A682" s="46"/>
      <c r="B682" s="196"/>
      <c r="C682" s="195"/>
      <c r="D682" s="195"/>
      <c r="E682" s="195"/>
      <c r="F682" s="46"/>
      <c r="G682" s="47"/>
    </row>
    <row r="683" spans="1:7" ht="18" x14ac:dyDescent="0.25">
      <c r="A683" s="236" t="s">
        <v>290</v>
      </c>
      <c r="B683" s="19" t="s">
        <v>278</v>
      </c>
      <c r="C683" s="20" t="s">
        <v>50</v>
      </c>
      <c r="D683" s="20" t="s">
        <v>36</v>
      </c>
      <c r="E683" s="21" t="s">
        <v>51</v>
      </c>
      <c r="F683" s="22" t="s">
        <v>52</v>
      </c>
      <c r="G683" s="22" t="s">
        <v>49</v>
      </c>
    </row>
    <row r="684" spans="1:7" ht="18" x14ac:dyDescent="0.25">
      <c r="A684" s="18"/>
      <c r="B684" s="110" t="s">
        <v>352</v>
      </c>
      <c r="C684" s="41" t="s">
        <v>35</v>
      </c>
      <c r="D684" s="41" t="s">
        <v>18</v>
      </c>
      <c r="E684" s="100">
        <v>0.216</v>
      </c>
      <c r="F684" s="99">
        <v>45</v>
      </c>
      <c r="G684" s="99">
        <f>F684*E684</f>
        <v>9.7200000000000006</v>
      </c>
    </row>
    <row r="685" spans="1:7" x14ac:dyDescent="0.25">
      <c r="A685" s="18"/>
      <c r="B685" s="95" t="s">
        <v>384</v>
      </c>
      <c r="C685" s="41" t="s">
        <v>35</v>
      </c>
      <c r="D685" s="41" t="s">
        <v>48</v>
      </c>
      <c r="E685" s="99">
        <v>1.78</v>
      </c>
      <c r="F685" s="99">
        <v>22.81</v>
      </c>
      <c r="G685" s="99">
        <f t="shared" ref="G685:G690" si="23">F685*E685</f>
        <v>40.601799999999997</v>
      </c>
    </row>
    <row r="686" spans="1:7" ht="18" x14ac:dyDescent="0.25">
      <c r="A686" s="18"/>
      <c r="B686" s="95" t="s">
        <v>354</v>
      </c>
      <c r="C686" s="41" t="s">
        <v>35</v>
      </c>
      <c r="D686" s="41" t="s">
        <v>18</v>
      </c>
      <c r="E686" s="99">
        <v>0.13</v>
      </c>
      <c r="F686" s="99">
        <v>66.25</v>
      </c>
      <c r="G686" s="99">
        <f t="shared" si="23"/>
        <v>8.6125000000000007</v>
      </c>
    </row>
    <row r="687" spans="1:7" x14ac:dyDescent="0.25">
      <c r="A687" s="18"/>
      <c r="B687" s="95" t="s">
        <v>382</v>
      </c>
      <c r="C687" s="41" t="s">
        <v>35</v>
      </c>
      <c r="D687" s="41" t="s">
        <v>48</v>
      </c>
      <c r="E687" s="99">
        <v>2.5</v>
      </c>
      <c r="F687" s="99">
        <v>2.2519999999999998</v>
      </c>
      <c r="G687" s="99">
        <f t="shared" si="23"/>
        <v>5.629999999999999</v>
      </c>
    </row>
    <row r="688" spans="1:7" ht="18" x14ac:dyDescent="0.25">
      <c r="A688" s="18"/>
      <c r="B688" s="95" t="s">
        <v>383</v>
      </c>
      <c r="C688" s="41" t="s">
        <v>35</v>
      </c>
      <c r="D688" s="41" t="s">
        <v>9</v>
      </c>
      <c r="E688" s="99">
        <v>71</v>
      </c>
      <c r="F688" s="99">
        <v>0.48</v>
      </c>
      <c r="G688" s="99">
        <f t="shared" si="23"/>
        <v>34.08</v>
      </c>
    </row>
    <row r="689" spans="1:9" x14ac:dyDescent="0.25">
      <c r="A689" s="18"/>
      <c r="B689" s="111" t="s">
        <v>355</v>
      </c>
      <c r="C689" s="23" t="s">
        <v>37</v>
      </c>
      <c r="D689" s="41" t="s">
        <v>38</v>
      </c>
      <c r="E689" s="104">
        <v>3</v>
      </c>
      <c r="F689" s="99">
        <v>5.6</v>
      </c>
      <c r="G689" s="99">
        <f t="shared" si="23"/>
        <v>16.799999999999997</v>
      </c>
    </row>
    <row r="690" spans="1:9" x14ac:dyDescent="0.25">
      <c r="A690" s="18"/>
      <c r="B690" s="95" t="s">
        <v>344</v>
      </c>
      <c r="C690" s="41" t="s">
        <v>37</v>
      </c>
      <c r="D690" s="41" t="s">
        <v>38</v>
      </c>
      <c r="E690" s="104">
        <v>7</v>
      </c>
      <c r="F690" s="99">
        <v>4.47</v>
      </c>
      <c r="G690" s="99">
        <f t="shared" si="23"/>
        <v>31.29</v>
      </c>
    </row>
    <row r="691" spans="1:9" x14ac:dyDescent="0.25">
      <c r="A691" s="295" t="s">
        <v>39</v>
      </c>
      <c r="B691" s="295"/>
      <c r="C691" s="295"/>
      <c r="D691" s="295"/>
      <c r="E691" s="295"/>
      <c r="F691" s="295"/>
      <c r="G691" s="90">
        <f>SUM(G689:G690)</f>
        <v>48.089999999999996</v>
      </c>
    </row>
    <row r="692" spans="1:9" x14ac:dyDescent="0.25">
      <c r="A692" s="295" t="s">
        <v>40</v>
      </c>
      <c r="B692" s="295"/>
      <c r="C692" s="295"/>
      <c r="D692" s="295"/>
      <c r="E692" s="295"/>
      <c r="F692" s="295"/>
      <c r="G692" s="90">
        <f>SUM(G684:G688)</f>
        <v>98.644299999999987</v>
      </c>
    </row>
    <row r="693" spans="1:9" x14ac:dyDescent="0.25">
      <c r="A693" s="295" t="s">
        <v>41</v>
      </c>
      <c r="B693" s="295"/>
      <c r="C693" s="295"/>
      <c r="D693" s="295"/>
      <c r="E693" s="295"/>
      <c r="F693" s="44">
        <f>E9</f>
        <v>0.86599999999999999</v>
      </c>
      <c r="G693" s="90">
        <f>(F693)*G691</f>
        <v>41.645939999999996</v>
      </c>
    </row>
    <row r="694" spans="1:9" x14ac:dyDescent="0.25">
      <c r="A694" s="295" t="s">
        <v>42</v>
      </c>
      <c r="B694" s="295"/>
      <c r="C694" s="295"/>
      <c r="D694" s="295"/>
      <c r="E694" s="295"/>
      <c r="F694" s="44">
        <f>G10</f>
        <v>0.28349999999999997</v>
      </c>
      <c r="G694" s="90">
        <f>SUM(G691,G692,G693)*F694</f>
        <v>53.405798039999993</v>
      </c>
    </row>
    <row r="695" spans="1:9" x14ac:dyDescent="0.25">
      <c r="A695" s="295" t="s">
        <v>43</v>
      </c>
      <c r="B695" s="295"/>
      <c r="C695" s="295"/>
      <c r="D695" s="295"/>
      <c r="E695" s="295"/>
      <c r="F695" s="295"/>
      <c r="G695" s="90">
        <f>SUM(G691:G694)+0.02</f>
        <v>241.80603804</v>
      </c>
    </row>
    <row r="696" spans="1:9" x14ac:dyDescent="0.25">
      <c r="A696" s="295" t="s">
        <v>44</v>
      </c>
      <c r="B696" s="295"/>
      <c r="C696" s="295"/>
      <c r="D696" s="295"/>
      <c r="E696" s="295"/>
      <c r="F696" s="295"/>
      <c r="G696" s="91">
        <f>TRUNC(G694+G695,2)+0.01</f>
        <v>295.21999999999997</v>
      </c>
      <c r="H696" s="17">
        <v>295.2</v>
      </c>
      <c r="I696" s="25">
        <f>G696-H696</f>
        <v>1.999999999998181E-2</v>
      </c>
    </row>
    <row r="699" spans="1:9" x14ac:dyDescent="0.25">
      <c r="B699" s="196" t="s">
        <v>45</v>
      </c>
      <c r="C699" s="296" t="s">
        <v>59</v>
      </c>
      <c r="D699" s="296"/>
      <c r="E699" s="296"/>
    </row>
    <row r="700" spans="1:9" x14ac:dyDescent="0.25">
      <c r="B700" s="196" t="s">
        <v>46</v>
      </c>
      <c r="C700" s="297" t="s">
        <v>60</v>
      </c>
      <c r="D700" s="297"/>
      <c r="E700" s="297"/>
    </row>
    <row r="701" spans="1:9" x14ac:dyDescent="0.25">
      <c r="B701" s="196"/>
      <c r="C701" s="195"/>
      <c r="D701" s="195"/>
      <c r="E701" s="195"/>
    </row>
    <row r="702" spans="1:9" ht="36" x14ac:dyDescent="0.25">
      <c r="A702" s="236" t="s">
        <v>291</v>
      </c>
      <c r="B702" s="237" t="s">
        <v>460</v>
      </c>
      <c r="C702" s="20" t="s">
        <v>50</v>
      </c>
      <c r="D702" s="35" t="s">
        <v>36</v>
      </c>
      <c r="E702" s="21" t="s">
        <v>51</v>
      </c>
      <c r="F702" s="22" t="s">
        <v>52</v>
      </c>
      <c r="G702" s="22" t="s">
        <v>49</v>
      </c>
    </row>
    <row r="703" spans="1:9" ht="18" x14ac:dyDescent="0.25">
      <c r="A703" s="18"/>
      <c r="B703" s="238" t="s">
        <v>459</v>
      </c>
      <c r="C703" s="85" t="s">
        <v>35</v>
      </c>
      <c r="D703" s="85" t="s">
        <v>12</v>
      </c>
      <c r="E703" s="87">
        <v>1</v>
      </c>
      <c r="F703" s="87">
        <v>40</v>
      </c>
      <c r="G703" s="87">
        <f>E703*F703</f>
        <v>40</v>
      </c>
    </row>
    <row r="704" spans="1:9" ht="18" x14ac:dyDescent="0.25">
      <c r="A704" s="18"/>
      <c r="B704" s="110" t="s">
        <v>456</v>
      </c>
      <c r="C704" s="41" t="s">
        <v>35</v>
      </c>
      <c r="D704" s="41" t="s">
        <v>18</v>
      </c>
      <c r="E704" s="100">
        <v>5.0000000000000001E-4</v>
      </c>
      <c r="F704" s="99">
        <v>45</v>
      </c>
      <c r="G704" s="99">
        <f>F704*E704</f>
        <v>2.2499999999999999E-2</v>
      </c>
    </row>
    <row r="705" spans="1:8" x14ac:dyDescent="0.25">
      <c r="A705" s="18"/>
      <c r="B705" s="95" t="s">
        <v>353</v>
      </c>
      <c r="C705" s="41" t="s">
        <v>35</v>
      </c>
      <c r="D705" s="41" t="s">
        <v>48</v>
      </c>
      <c r="E705" s="99">
        <v>0.22500000000000001</v>
      </c>
      <c r="F705" s="99">
        <v>22.81</v>
      </c>
      <c r="G705" s="99">
        <f t="shared" ref="G705" si="24">F705*E705</f>
        <v>5.13225</v>
      </c>
    </row>
    <row r="706" spans="1:8" x14ac:dyDescent="0.25">
      <c r="A706" s="18"/>
      <c r="B706" s="111" t="s">
        <v>397</v>
      </c>
      <c r="C706" s="24" t="s">
        <v>37</v>
      </c>
      <c r="D706" s="24" t="s">
        <v>38</v>
      </c>
      <c r="E706" s="114">
        <v>0.2</v>
      </c>
      <c r="F706" s="114">
        <v>6.82</v>
      </c>
      <c r="G706" s="114">
        <f>E706*F706</f>
        <v>1.3640000000000001</v>
      </c>
    </row>
    <row r="707" spans="1:8" x14ac:dyDescent="0.25">
      <c r="A707" s="18"/>
      <c r="B707" s="111" t="s">
        <v>396</v>
      </c>
      <c r="C707" s="24" t="s">
        <v>37</v>
      </c>
      <c r="D707" s="24" t="s">
        <v>38</v>
      </c>
      <c r="E707" s="114">
        <v>0.2</v>
      </c>
      <c r="F707" s="114">
        <v>4.47</v>
      </c>
      <c r="G707" s="114">
        <f>E707*F707</f>
        <v>0.89400000000000002</v>
      </c>
    </row>
    <row r="708" spans="1:8" x14ac:dyDescent="0.25">
      <c r="A708" s="18"/>
      <c r="B708" s="40"/>
      <c r="C708" s="41"/>
      <c r="D708" s="41"/>
      <c r="E708" s="42"/>
      <c r="F708" s="43"/>
      <c r="G708" s="43"/>
    </row>
    <row r="709" spans="1:8" x14ac:dyDescent="0.25">
      <c r="A709" s="295" t="s">
        <v>39</v>
      </c>
      <c r="B709" s="295"/>
      <c r="C709" s="295"/>
      <c r="D709" s="295"/>
      <c r="E709" s="295"/>
      <c r="F709" s="295"/>
      <c r="G709" s="90">
        <f>SUM(G706:G707)</f>
        <v>2.258</v>
      </c>
    </row>
    <row r="710" spans="1:8" x14ac:dyDescent="0.25">
      <c r="A710" s="295" t="s">
        <v>40</v>
      </c>
      <c r="B710" s="295"/>
      <c r="C710" s="295"/>
      <c r="D710" s="295"/>
      <c r="E710" s="295"/>
      <c r="F710" s="295"/>
      <c r="G710" s="90">
        <f>SUM(G703)</f>
        <v>40</v>
      </c>
    </row>
    <row r="711" spans="1:8" x14ac:dyDescent="0.25">
      <c r="A711" s="295" t="s">
        <v>41</v>
      </c>
      <c r="B711" s="295"/>
      <c r="C711" s="295"/>
      <c r="D711" s="295"/>
      <c r="E711" s="295"/>
      <c r="F711" s="44">
        <f>E9</f>
        <v>0.86599999999999999</v>
      </c>
      <c r="G711" s="90">
        <f>(F711)*G709</f>
        <v>1.9554279999999999</v>
      </c>
    </row>
    <row r="712" spans="1:8" x14ac:dyDescent="0.25">
      <c r="A712" s="295" t="s">
        <v>42</v>
      </c>
      <c r="B712" s="295"/>
      <c r="C712" s="295"/>
      <c r="D712" s="295"/>
      <c r="E712" s="295"/>
      <c r="F712" s="44">
        <f>G10</f>
        <v>0.28349999999999997</v>
      </c>
      <c r="G712" s="90">
        <f>SUM(G709,G710,G711)*F712</f>
        <v>12.534506837999999</v>
      </c>
    </row>
    <row r="713" spans="1:8" x14ac:dyDescent="0.25">
      <c r="A713" s="295" t="s">
        <v>43</v>
      </c>
      <c r="B713" s="295"/>
      <c r="C713" s="295"/>
      <c r="D713" s="295"/>
      <c r="E713" s="295"/>
      <c r="F713" s="295"/>
      <c r="G713" s="90">
        <f>SUM(G709:G712)</f>
        <v>56.747934837999999</v>
      </c>
    </row>
    <row r="714" spans="1:8" x14ac:dyDescent="0.25">
      <c r="A714" s="295" t="s">
        <v>44</v>
      </c>
      <c r="B714" s="295"/>
      <c r="C714" s="295"/>
      <c r="D714" s="295"/>
      <c r="E714" s="295"/>
      <c r="F714" s="295"/>
      <c r="G714" s="91">
        <f>TRUNC(G712+G713,2)+0.01</f>
        <v>69.290000000000006</v>
      </c>
      <c r="H714" s="17">
        <v>86.46</v>
      </c>
    </row>
    <row r="715" spans="1:8" x14ac:dyDescent="0.25">
      <c r="A715" s="46"/>
      <c r="B715" s="46"/>
      <c r="C715" s="46"/>
      <c r="D715" s="46"/>
      <c r="E715" s="46"/>
      <c r="F715" s="46"/>
      <c r="G715" s="47"/>
    </row>
    <row r="716" spans="1:8" x14ac:dyDescent="0.25">
      <c r="A716" s="46"/>
      <c r="B716" s="196" t="s">
        <v>45</v>
      </c>
      <c r="C716" s="296" t="s">
        <v>59</v>
      </c>
      <c r="D716" s="296"/>
      <c r="E716" s="296"/>
      <c r="F716" s="46"/>
      <c r="G716" s="47"/>
    </row>
    <row r="717" spans="1:8" x14ac:dyDescent="0.25">
      <c r="A717" s="46"/>
      <c r="B717" s="196" t="s">
        <v>46</v>
      </c>
      <c r="C717" s="297" t="s">
        <v>60</v>
      </c>
      <c r="D717" s="297"/>
      <c r="E717" s="297"/>
      <c r="F717" s="46"/>
      <c r="G717" s="47"/>
    </row>
    <row r="718" spans="1:8" x14ac:dyDescent="0.25">
      <c r="B718" s="196"/>
      <c r="C718" s="195"/>
      <c r="D718" s="195"/>
      <c r="E718" s="195"/>
    </row>
    <row r="719" spans="1:8" x14ac:dyDescent="0.25">
      <c r="A719" s="236" t="s">
        <v>292</v>
      </c>
      <c r="B719" s="73" t="s">
        <v>280</v>
      </c>
      <c r="C719" s="20" t="s">
        <v>50</v>
      </c>
      <c r="D719" s="20" t="s">
        <v>3</v>
      </c>
      <c r="E719" s="21" t="s">
        <v>51</v>
      </c>
      <c r="F719" s="22" t="s">
        <v>52</v>
      </c>
      <c r="G719" s="22" t="s">
        <v>49</v>
      </c>
    </row>
    <row r="720" spans="1:8" x14ac:dyDescent="0.25">
      <c r="A720" s="18"/>
      <c r="B720" s="95" t="s">
        <v>344</v>
      </c>
      <c r="C720" s="41" t="s">
        <v>37</v>
      </c>
      <c r="D720" s="41" t="s">
        <v>38</v>
      </c>
      <c r="E720" s="114">
        <v>10.5</v>
      </c>
      <c r="F720" s="114">
        <v>4.47</v>
      </c>
      <c r="G720" s="114">
        <f t="shared" ref="G720" si="25">E720*F720</f>
        <v>46.934999999999995</v>
      </c>
    </row>
    <row r="721" spans="1:7" x14ac:dyDescent="0.25">
      <c r="A721" s="18"/>
      <c r="B721" s="111" t="s">
        <v>355</v>
      </c>
      <c r="C721" s="24" t="s">
        <v>37</v>
      </c>
      <c r="D721" s="24" t="s">
        <v>38</v>
      </c>
      <c r="E721" s="114">
        <v>0.2</v>
      </c>
      <c r="F721" s="114">
        <v>6.82</v>
      </c>
      <c r="G721" s="114">
        <f>E721*F721</f>
        <v>1.3640000000000001</v>
      </c>
    </row>
    <row r="722" spans="1:7" x14ac:dyDescent="0.25">
      <c r="A722" s="295" t="s">
        <v>39</v>
      </c>
      <c r="B722" s="295"/>
      <c r="C722" s="295"/>
      <c r="D722" s="295"/>
      <c r="E722" s="295"/>
      <c r="F722" s="295"/>
      <c r="G722" s="90">
        <f>SUM(G720:G721)</f>
        <v>48.298999999999992</v>
      </c>
    </row>
    <row r="723" spans="1:7" x14ac:dyDescent="0.25">
      <c r="A723" s="295" t="s">
        <v>40</v>
      </c>
      <c r="B723" s="295"/>
      <c r="C723" s="295"/>
      <c r="D723" s="295"/>
      <c r="E723" s="295"/>
      <c r="F723" s="295"/>
      <c r="G723" s="90">
        <v>0</v>
      </c>
    </row>
    <row r="724" spans="1:7" x14ac:dyDescent="0.25">
      <c r="A724" s="295" t="s">
        <v>41</v>
      </c>
      <c r="B724" s="295"/>
      <c r="C724" s="295"/>
      <c r="D724" s="295"/>
      <c r="E724" s="295"/>
      <c r="F724" s="44">
        <f>E9</f>
        <v>0.86599999999999999</v>
      </c>
      <c r="G724" s="90">
        <f>(F724)*G722</f>
        <v>41.826933999999994</v>
      </c>
    </row>
    <row r="725" spans="1:7" x14ac:dyDescent="0.25">
      <c r="A725" s="295" t="s">
        <v>42</v>
      </c>
      <c r="B725" s="295"/>
      <c r="C725" s="295"/>
      <c r="D725" s="295"/>
      <c r="E725" s="295"/>
      <c r="F725" s="44">
        <f>G10</f>
        <v>0.28349999999999997</v>
      </c>
      <c r="G725" s="90">
        <f>SUM(G722,G723,G724)*F725</f>
        <v>25.550702288999993</v>
      </c>
    </row>
    <row r="726" spans="1:7" x14ac:dyDescent="0.25">
      <c r="A726" s="295" t="s">
        <v>43</v>
      </c>
      <c r="B726" s="295"/>
      <c r="C726" s="295"/>
      <c r="D726" s="295"/>
      <c r="E726" s="295"/>
      <c r="F726" s="295"/>
      <c r="G726" s="90">
        <f>SUM(G722:G724)</f>
        <v>90.125933999999987</v>
      </c>
    </row>
    <row r="727" spans="1:7" x14ac:dyDescent="0.25">
      <c r="A727" s="295" t="s">
        <v>44</v>
      </c>
      <c r="B727" s="295"/>
      <c r="C727" s="295"/>
      <c r="D727" s="295"/>
      <c r="E727" s="295"/>
      <c r="F727" s="295"/>
      <c r="G727" s="91">
        <f>TRUNC(G725+G726,2)</f>
        <v>115.67</v>
      </c>
    </row>
    <row r="728" spans="1:7" x14ac:dyDescent="0.25">
      <c r="A728" s="46"/>
      <c r="B728" s="46"/>
      <c r="C728" s="46"/>
      <c r="D728" s="46"/>
      <c r="E728" s="46"/>
      <c r="F728" s="46"/>
      <c r="G728" s="47"/>
    </row>
    <row r="729" spans="1:7" x14ac:dyDescent="0.25">
      <c r="A729" s="46"/>
      <c r="B729" s="196" t="s">
        <v>45</v>
      </c>
      <c r="C729" s="296" t="s">
        <v>59</v>
      </c>
      <c r="D729" s="296"/>
      <c r="E729" s="296"/>
      <c r="F729" s="46"/>
      <c r="G729" s="47"/>
    </row>
    <row r="730" spans="1:7" x14ac:dyDescent="0.25">
      <c r="A730" s="46"/>
      <c r="B730" s="196" t="s">
        <v>46</v>
      </c>
      <c r="C730" s="296" t="s">
        <v>60</v>
      </c>
      <c r="D730" s="296"/>
      <c r="E730" s="296"/>
      <c r="F730" s="46"/>
      <c r="G730" s="47"/>
    </row>
    <row r="731" spans="1:7" x14ac:dyDescent="0.25">
      <c r="B731" s="196"/>
      <c r="C731" s="195"/>
      <c r="D731" s="195"/>
      <c r="E731" s="195"/>
    </row>
    <row r="732" spans="1:7" ht="18" x14ac:dyDescent="0.25">
      <c r="A732" s="236" t="s">
        <v>293</v>
      </c>
      <c r="B732" s="19" t="s">
        <v>281</v>
      </c>
      <c r="C732" s="20" t="s">
        <v>50</v>
      </c>
      <c r="D732" s="20" t="s">
        <v>36</v>
      </c>
      <c r="E732" s="21" t="s">
        <v>51</v>
      </c>
      <c r="F732" s="22" t="s">
        <v>52</v>
      </c>
      <c r="G732" s="22" t="s">
        <v>49</v>
      </c>
    </row>
    <row r="733" spans="1:7" ht="18" x14ac:dyDescent="0.25">
      <c r="A733" s="18"/>
      <c r="B733" s="110" t="s">
        <v>456</v>
      </c>
      <c r="C733" s="41" t="s">
        <v>35</v>
      </c>
      <c r="D733" s="41" t="s">
        <v>18</v>
      </c>
      <c r="E733" s="100">
        <v>0.03</v>
      </c>
      <c r="F733" s="99">
        <v>45</v>
      </c>
      <c r="G733" s="99">
        <f>F733*E733</f>
        <v>1.3499999999999999</v>
      </c>
    </row>
    <row r="734" spans="1:7" x14ac:dyDescent="0.25">
      <c r="A734" s="18"/>
      <c r="B734" s="95" t="s">
        <v>353</v>
      </c>
      <c r="C734" s="41" t="s">
        <v>35</v>
      </c>
      <c r="D734" s="41" t="s">
        <v>48</v>
      </c>
      <c r="E734" s="99">
        <v>20</v>
      </c>
      <c r="F734" s="99">
        <v>0.57999999999999996</v>
      </c>
      <c r="G734" s="99">
        <f t="shared" ref="G734:G738" si="26">F734*E734</f>
        <v>11.6</v>
      </c>
    </row>
    <row r="735" spans="1:7" ht="18" x14ac:dyDescent="0.25">
      <c r="A735" s="18"/>
      <c r="B735" s="95" t="s">
        <v>461</v>
      </c>
      <c r="C735" s="41" t="s">
        <v>35</v>
      </c>
      <c r="D735" s="41" t="s">
        <v>12</v>
      </c>
      <c r="E735" s="99">
        <v>4.4000000000000004</v>
      </c>
      <c r="F735" s="99">
        <v>1.2</v>
      </c>
      <c r="G735" s="99">
        <f t="shared" ref="G735" si="27">F735*E735</f>
        <v>5.28</v>
      </c>
    </row>
    <row r="736" spans="1:7" ht="18" x14ac:dyDescent="0.25">
      <c r="A736" s="18"/>
      <c r="B736" s="95" t="s">
        <v>462</v>
      </c>
      <c r="C736" s="41" t="s">
        <v>35</v>
      </c>
      <c r="D736" s="41" t="s">
        <v>18</v>
      </c>
      <c r="E736" s="99">
        <v>0.04</v>
      </c>
      <c r="F736" s="99">
        <v>66</v>
      </c>
      <c r="G736" s="99">
        <f t="shared" si="26"/>
        <v>2.64</v>
      </c>
    </row>
    <row r="737" spans="1:9" x14ac:dyDescent="0.25">
      <c r="A737" s="18"/>
      <c r="B737" s="111" t="s">
        <v>390</v>
      </c>
      <c r="C737" s="23" t="s">
        <v>37</v>
      </c>
      <c r="D737" s="41" t="s">
        <v>38</v>
      </c>
      <c r="E737" s="104">
        <v>0.31140000000000001</v>
      </c>
      <c r="F737" s="99">
        <v>5.6</v>
      </c>
      <c r="G737" s="99">
        <f t="shared" si="26"/>
        <v>1.7438400000000001</v>
      </c>
    </row>
    <row r="738" spans="1:9" ht="18" x14ac:dyDescent="0.25">
      <c r="A738" s="18"/>
      <c r="B738" s="95" t="s">
        <v>398</v>
      </c>
      <c r="C738" s="41" t="s">
        <v>37</v>
      </c>
      <c r="D738" s="41" t="s">
        <v>38</v>
      </c>
      <c r="E738" s="104">
        <v>0.3</v>
      </c>
      <c r="F738" s="99">
        <v>4.47</v>
      </c>
      <c r="G738" s="99">
        <f t="shared" si="26"/>
        <v>1.341</v>
      </c>
    </row>
    <row r="739" spans="1:9" x14ac:dyDescent="0.25">
      <c r="A739" s="295" t="s">
        <v>39</v>
      </c>
      <c r="B739" s="295"/>
      <c r="C739" s="295"/>
      <c r="D739" s="295"/>
      <c r="E739" s="295"/>
      <c r="F739" s="295"/>
      <c r="G739" s="90">
        <f>SUM(G737:G738)</f>
        <v>3.0848399999999998</v>
      </c>
    </row>
    <row r="740" spans="1:9" x14ac:dyDescent="0.25">
      <c r="A740" s="295" t="s">
        <v>40</v>
      </c>
      <c r="B740" s="295"/>
      <c r="C740" s="295"/>
      <c r="D740" s="295"/>
      <c r="E740" s="295"/>
      <c r="F740" s="295"/>
      <c r="G740" s="90">
        <f>SUM(G733:G736)</f>
        <v>20.87</v>
      </c>
    </row>
    <row r="741" spans="1:9" x14ac:dyDescent="0.25">
      <c r="A741" s="295" t="s">
        <v>41</v>
      </c>
      <c r="B741" s="295"/>
      <c r="C741" s="295"/>
      <c r="D741" s="295"/>
      <c r="E741" s="295"/>
      <c r="F741" s="44">
        <f>E9</f>
        <v>0.86599999999999999</v>
      </c>
      <c r="G741" s="90">
        <f>(F741)*G739</f>
        <v>2.6714714399999999</v>
      </c>
    </row>
    <row r="742" spans="1:9" x14ac:dyDescent="0.25">
      <c r="A742" s="295" t="s">
        <v>42</v>
      </c>
      <c r="B742" s="295"/>
      <c r="C742" s="295"/>
      <c r="D742" s="295"/>
      <c r="E742" s="295"/>
      <c r="F742" s="44">
        <f>G10</f>
        <v>0.28349999999999997</v>
      </c>
      <c r="G742" s="90">
        <f>SUM(G739,G740,G741)*F742</f>
        <v>7.5485592932400003</v>
      </c>
    </row>
    <row r="743" spans="1:9" x14ac:dyDescent="0.25">
      <c r="A743" s="295" t="s">
        <v>43</v>
      </c>
      <c r="B743" s="295"/>
      <c r="C743" s="295"/>
      <c r="D743" s="295"/>
      <c r="E743" s="295"/>
      <c r="F743" s="295"/>
      <c r="G743" s="90">
        <f>SUM(G739:G742)</f>
        <v>34.174870733239999</v>
      </c>
    </row>
    <row r="744" spans="1:9" x14ac:dyDescent="0.25">
      <c r="A744" s="295" t="s">
        <v>44</v>
      </c>
      <c r="B744" s="295"/>
      <c r="C744" s="295"/>
      <c r="D744" s="295"/>
      <c r="E744" s="295"/>
      <c r="F744" s="295"/>
      <c r="G744" s="91">
        <f>TRUNC(G742+G743,2)+0.01</f>
        <v>41.73</v>
      </c>
      <c r="H744" s="17">
        <v>41.73</v>
      </c>
      <c r="I744" s="25">
        <f>G744-H744</f>
        <v>0</v>
      </c>
    </row>
    <row r="746" spans="1:9" x14ac:dyDescent="0.25">
      <c r="B746" s="196" t="s">
        <v>45</v>
      </c>
      <c r="C746" s="296" t="s">
        <v>59</v>
      </c>
      <c r="D746" s="296"/>
      <c r="E746" s="296"/>
    </row>
    <row r="747" spans="1:9" x14ac:dyDescent="0.25">
      <c r="B747" s="196" t="s">
        <v>46</v>
      </c>
      <c r="C747" s="297" t="s">
        <v>60</v>
      </c>
      <c r="D747" s="297"/>
      <c r="E747" s="297"/>
    </row>
    <row r="748" spans="1:9" x14ac:dyDescent="0.25">
      <c r="A748" s="46"/>
      <c r="B748" s="196"/>
      <c r="C748" s="195"/>
      <c r="D748" s="195"/>
      <c r="E748" s="195"/>
      <c r="F748" s="46"/>
      <c r="G748" s="47"/>
    </row>
    <row r="749" spans="1:9" ht="27" x14ac:dyDescent="0.25">
      <c r="A749" s="236" t="s">
        <v>282</v>
      </c>
      <c r="B749" s="19" t="s">
        <v>295</v>
      </c>
      <c r="C749" s="20" t="s">
        <v>50</v>
      </c>
      <c r="D749" s="20" t="s">
        <v>36</v>
      </c>
      <c r="E749" s="21" t="s">
        <v>51</v>
      </c>
      <c r="F749" s="22" t="s">
        <v>52</v>
      </c>
      <c r="G749" s="22" t="s">
        <v>49</v>
      </c>
    </row>
    <row r="750" spans="1:9" ht="27" x14ac:dyDescent="0.25">
      <c r="A750" s="18"/>
      <c r="B750" s="110" t="s">
        <v>463</v>
      </c>
      <c r="C750" s="41" t="s">
        <v>64</v>
      </c>
      <c r="D750" s="41" t="s">
        <v>47</v>
      </c>
      <c r="E750" s="99">
        <v>1</v>
      </c>
      <c r="F750" s="99">
        <v>8.41</v>
      </c>
      <c r="G750" s="99">
        <f>F750*E750</f>
        <v>8.41</v>
      </c>
    </row>
    <row r="751" spans="1:9" ht="27" x14ac:dyDescent="0.25">
      <c r="A751" s="18"/>
      <c r="B751" s="95" t="s">
        <v>464</v>
      </c>
      <c r="C751" s="41" t="s">
        <v>64</v>
      </c>
      <c r="D751" s="41" t="s">
        <v>47</v>
      </c>
      <c r="E751" s="99">
        <v>1</v>
      </c>
      <c r="F751" s="99">
        <v>4.18</v>
      </c>
      <c r="G751" s="99">
        <f t="shared" ref="G751:G753" si="28">F751*E751</f>
        <v>4.18</v>
      </c>
    </row>
    <row r="752" spans="1:9" ht="27" x14ac:dyDescent="0.25">
      <c r="A752" s="18"/>
      <c r="B752" s="95" t="s">
        <v>465</v>
      </c>
      <c r="C752" s="41" t="s">
        <v>64</v>
      </c>
      <c r="D752" s="41" t="s">
        <v>47</v>
      </c>
      <c r="E752" s="99">
        <v>1</v>
      </c>
      <c r="F752" s="99">
        <v>65.959999999999994</v>
      </c>
      <c r="G752" s="99">
        <f t="shared" si="28"/>
        <v>65.959999999999994</v>
      </c>
    </row>
    <row r="753" spans="1:8" ht="18" x14ac:dyDescent="0.25">
      <c r="A753" s="18"/>
      <c r="B753" s="95" t="s">
        <v>466</v>
      </c>
      <c r="C753" s="41" t="s">
        <v>37</v>
      </c>
      <c r="D753" s="41" t="s">
        <v>38</v>
      </c>
      <c r="E753" s="99">
        <v>1</v>
      </c>
      <c r="F753" s="99">
        <v>6.82</v>
      </c>
      <c r="G753" s="99">
        <f t="shared" si="28"/>
        <v>6.82</v>
      </c>
    </row>
    <row r="754" spans="1:8" x14ac:dyDescent="0.25">
      <c r="A754" s="295" t="s">
        <v>39</v>
      </c>
      <c r="B754" s="295"/>
      <c r="C754" s="295"/>
      <c r="D754" s="295"/>
      <c r="E754" s="295"/>
      <c r="F754" s="295"/>
      <c r="G754" s="90">
        <f>SUM(G753:G753)</f>
        <v>6.82</v>
      </c>
    </row>
    <row r="755" spans="1:8" x14ac:dyDescent="0.25">
      <c r="A755" s="295" t="s">
        <v>81</v>
      </c>
      <c r="B755" s="295"/>
      <c r="C755" s="295"/>
      <c r="D755" s="295"/>
      <c r="E755" s="295"/>
      <c r="F755" s="295"/>
      <c r="G755" s="90">
        <v>0</v>
      </c>
    </row>
    <row r="756" spans="1:8" x14ac:dyDescent="0.25">
      <c r="A756" s="298" t="s">
        <v>65</v>
      </c>
      <c r="B756" s="298"/>
      <c r="C756" s="298"/>
      <c r="D756" s="298"/>
      <c r="E756" s="298"/>
      <c r="F756" s="298"/>
      <c r="G756" s="90">
        <f>SUM(G750:G752)</f>
        <v>78.55</v>
      </c>
    </row>
    <row r="757" spans="1:8" x14ac:dyDescent="0.25">
      <c r="A757" s="295" t="s">
        <v>40</v>
      </c>
      <c r="B757" s="295"/>
      <c r="C757" s="295"/>
      <c r="D757" s="295"/>
      <c r="E757" s="295"/>
      <c r="F757" s="295"/>
      <c r="G757" s="90">
        <v>0</v>
      </c>
    </row>
    <row r="758" spans="1:8" x14ac:dyDescent="0.25">
      <c r="A758" s="295" t="s">
        <v>41</v>
      </c>
      <c r="B758" s="295"/>
      <c r="C758" s="295"/>
      <c r="D758" s="295"/>
      <c r="E758" s="295"/>
      <c r="F758" s="44">
        <f>E9</f>
        <v>0.86599999999999999</v>
      </c>
      <c r="G758" s="90">
        <f>(F758)*G754</f>
        <v>5.9061200000000005</v>
      </c>
    </row>
    <row r="759" spans="1:8" x14ac:dyDescent="0.25">
      <c r="A759" s="295" t="s">
        <v>42</v>
      </c>
      <c r="B759" s="295"/>
      <c r="C759" s="295"/>
      <c r="D759" s="295"/>
      <c r="E759" s="295"/>
      <c r="F759" s="44">
        <f>G10</f>
        <v>0.28349999999999997</v>
      </c>
      <c r="G759" s="90">
        <f>SUM(G754,G757,G758)*F759</f>
        <v>3.6078550200000001</v>
      </c>
    </row>
    <row r="760" spans="1:8" x14ac:dyDescent="0.25">
      <c r="A760" s="295" t="s">
        <v>43</v>
      </c>
      <c r="B760" s="295"/>
      <c r="C760" s="295"/>
      <c r="D760" s="295"/>
      <c r="E760" s="295"/>
      <c r="F760" s="295"/>
      <c r="G760" s="90">
        <f>SUM(G754:G758)</f>
        <v>91.276120000000006</v>
      </c>
    </row>
    <row r="761" spans="1:8" x14ac:dyDescent="0.25">
      <c r="A761" s="295" t="s">
        <v>44</v>
      </c>
      <c r="B761" s="295"/>
      <c r="C761" s="295"/>
      <c r="D761" s="295"/>
      <c r="E761" s="295"/>
      <c r="F761" s="295"/>
      <c r="G761" s="91">
        <f>TRUNC(G759+G760,2)</f>
        <v>94.88</v>
      </c>
      <c r="H761" s="17">
        <v>128.37</v>
      </c>
    </row>
    <row r="762" spans="1:8" x14ac:dyDescent="0.25">
      <c r="A762" s="46"/>
      <c r="B762" s="46"/>
      <c r="C762" s="46"/>
      <c r="D762" s="46"/>
      <c r="E762" s="46"/>
      <c r="F762" s="46"/>
      <c r="G762" s="241"/>
    </row>
    <row r="764" spans="1:8" x14ac:dyDescent="0.25">
      <c r="B764" s="196" t="s">
        <v>45</v>
      </c>
      <c r="C764" s="296" t="s">
        <v>59</v>
      </c>
      <c r="D764" s="296"/>
      <c r="E764" s="296"/>
    </row>
    <row r="765" spans="1:8" x14ac:dyDescent="0.25">
      <c r="B765" s="196" t="s">
        <v>46</v>
      </c>
      <c r="C765" s="297" t="s">
        <v>60</v>
      </c>
      <c r="D765" s="297"/>
      <c r="E765" s="297"/>
    </row>
    <row r="766" spans="1:8" x14ac:dyDescent="0.25">
      <c r="B766" s="196"/>
      <c r="C766" s="195"/>
      <c r="D766" s="195"/>
      <c r="E766" s="195"/>
    </row>
    <row r="767" spans="1:8" ht="41.25" customHeight="1" x14ac:dyDescent="0.25">
      <c r="A767" s="236" t="s">
        <v>304</v>
      </c>
      <c r="B767" s="19" t="s">
        <v>318</v>
      </c>
      <c r="C767" s="20" t="s">
        <v>50</v>
      </c>
      <c r="D767" s="20" t="s">
        <v>36</v>
      </c>
      <c r="E767" s="21" t="s">
        <v>51</v>
      </c>
      <c r="F767" s="22" t="s">
        <v>52</v>
      </c>
      <c r="G767" s="22" t="s">
        <v>49</v>
      </c>
    </row>
    <row r="768" spans="1:8" ht="63" x14ac:dyDescent="0.25">
      <c r="A768" s="18"/>
      <c r="B768" s="110" t="s">
        <v>467</v>
      </c>
      <c r="C768" s="41" t="s">
        <v>64</v>
      </c>
      <c r="D768" s="41" t="s">
        <v>38</v>
      </c>
      <c r="E768" s="99">
        <v>1</v>
      </c>
      <c r="F768" s="99">
        <v>16.010000000000002</v>
      </c>
      <c r="G768" s="99">
        <f>F768*E768</f>
        <v>16.010000000000002</v>
      </c>
    </row>
    <row r="769" spans="1:8" ht="63" x14ac:dyDescent="0.25">
      <c r="A769" s="18"/>
      <c r="B769" s="95" t="s">
        <v>468</v>
      </c>
      <c r="C769" s="41" t="s">
        <v>64</v>
      </c>
      <c r="D769" s="41" t="s">
        <v>38</v>
      </c>
      <c r="E769" s="99">
        <v>1</v>
      </c>
      <c r="F769" s="99">
        <v>7.81</v>
      </c>
      <c r="G769" s="99">
        <f t="shared" ref="G769:G773" si="29">F769*E769</f>
        <v>7.81</v>
      </c>
    </row>
    <row r="770" spans="1:8" ht="63" x14ac:dyDescent="0.25">
      <c r="A770" s="18"/>
      <c r="B770" s="95" t="s">
        <v>469</v>
      </c>
      <c r="C770" s="41" t="s">
        <v>64</v>
      </c>
      <c r="D770" s="41" t="s">
        <v>38</v>
      </c>
      <c r="E770" s="99">
        <v>1</v>
      </c>
      <c r="F770" s="99">
        <v>1.62</v>
      </c>
      <c r="G770" s="99">
        <f t="shared" si="29"/>
        <v>1.62</v>
      </c>
    </row>
    <row r="771" spans="1:8" ht="63" x14ac:dyDescent="0.25">
      <c r="A771" s="18"/>
      <c r="B771" s="95" t="s">
        <v>470</v>
      </c>
      <c r="C771" s="41" t="s">
        <v>64</v>
      </c>
      <c r="D771" s="41" t="s">
        <v>38</v>
      </c>
      <c r="E771" s="99">
        <v>1</v>
      </c>
      <c r="F771" s="99">
        <v>21.5</v>
      </c>
      <c r="G771" s="99">
        <f t="shared" si="29"/>
        <v>21.5</v>
      </c>
    </row>
    <row r="772" spans="1:8" ht="63" x14ac:dyDescent="0.25">
      <c r="A772" s="18"/>
      <c r="B772" s="95" t="s">
        <v>471</v>
      </c>
      <c r="C772" s="41" t="s">
        <v>64</v>
      </c>
      <c r="D772" s="41" t="s">
        <v>38</v>
      </c>
      <c r="E772" s="99">
        <v>1</v>
      </c>
      <c r="F772" s="99">
        <v>50.4</v>
      </c>
      <c r="G772" s="99">
        <f t="shared" si="29"/>
        <v>50.4</v>
      </c>
    </row>
    <row r="773" spans="1:8" ht="18" x14ac:dyDescent="0.25">
      <c r="A773" s="18"/>
      <c r="B773" s="95" t="s">
        <v>466</v>
      </c>
      <c r="C773" s="41" t="s">
        <v>37</v>
      </c>
      <c r="D773" s="41" t="s">
        <v>38</v>
      </c>
      <c r="E773" s="99">
        <v>1</v>
      </c>
      <c r="F773" s="99">
        <v>6.82</v>
      </c>
      <c r="G773" s="99">
        <f t="shared" si="29"/>
        <v>6.82</v>
      </c>
    </row>
    <row r="774" spans="1:8" x14ac:dyDescent="0.25">
      <c r="A774" s="295" t="s">
        <v>39</v>
      </c>
      <c r="B774" s="295"/>
      <c r="C774" s="295"/>
      <c r="D774" s="295"/>
      <c r="E774" s="295"/>
      <c r="F774" s="295"/>
      <c r="G774" s="90">
        <f>SUM(G773:G773)</f>
        <v>6.82</v>
      </c>
    </row>
    <row r="775" spans="1:8" x14ac:dyDescent="0.25">
      <c r="A775" s="295" t="s">
        <v>81</v>
      </c>
      <c r="B775" s="295"/>
      <c r="C775" s="295"/>
      <c r="D775" s="295"/>
      <c r="E775" s="295"/>
      <c r="F775" s="295"/>
      <c r="G775" s="240">
        <f>SUM(G769:G771)</f>
        <v>30.93</v>
      </c>
    </row>
    <row r="776" spans="1:8" x14ac:dyDescent="0.25">
      <c r="A776" s="295" t="s">
        <v>65</v>
      </c>
      <c r="B776" s="295"/>
      <c r="C776" s="295"/>
      <c r="D776" s="295"/>
      <c r="E776" s="295"/>
      <c r="F776" s="295"/>
      <c r="G776" s="90">
        <f>SUM(G772)</f>
        <v>50.4</v>
      </c>
    </row>
    <row r="777" spans="1:8" x14ac:dyDescent="0.25">
      <c r="A777" s="295" t="s">
        <v>40</v>
      </c>
      <c r="B777" s="295"/>
      <c r="C777" s="295"/>
      <c r="D777" s="295"/>
      <c r="E777" s="295"/>
      <c r="F777" s="295"/>
      <c r="G777" s="90">
        <f>SUM(G768:G769)</f>
        <v>23.82</v>
      </c>
    </row>
    <row r="778" spans="1:8" x14ac:dyDescent="0.25">
      <c r="A778" s="295" t="s">
        <v>41</v>
      </c>
      <c r="B778" s="295"/>
      <c r="C778" s="295"/>
      <c r="D778" s="295"/>
      <c r="E778" s="295"/>
      <c r="F778" s="44">
        <f>E9</f>
        <v>0.86599999999999999</v>
      </c>
      <c r="G778" s="90">
        <f>(F778)*G774</f>
        <v>5.9061200000000005</v>
      </c>
    </row>
    <row r="779" spans="1:8" x14ac:dyDescent="0.25">
      <c r="A779" s="295" t="s">
        <v>42</v>
      </c>
      <c r="B779" s="295"/>
      <c r="C779" s="295"/>
      <c r="D779" s="295"/>
      <c r="E779" s="295"/>
      <c r="F779" s="44">
        <f>G10</f>
        <v>0.28349999999999997</v>
      </c>
      <c r="G779" s="90">
        <f>SUM(G774,G777,G778)*F779</f>
        <v>10.36082502</v>
      </c>
    </row>
    <row r="780" spans="1:8" x14ac:dyDescent="0.25">
      <c r="A780" s="295" t="s">
        <v>43</v>
      </c>
      <c r="B780" s="295"/>
      <c r="C780" s="295"/>
      <c r="D780" s="295"/>
      <c r="E780" s="295"/>
      <c r="F780" s="295"/>
      <c r="G780" s="90">
        <f>SUM(G774:G778)</f>
        <v>117.87612</v>
      </c>
    </row>
    <row r="781" spans="1:8" x14ac:dyDescent="0.25">
      <c r="A781" s="295" t="s">
        <v>44</v>
      </c>
      <c r="B781" s="295"/>
      <c r="C781" s="295"/>
      <c r="D781" s="295"/>
      <c r="E781" s="295"/>
      <c r="F781" s="295"/>
      <c r="G781" s="91">
        <f>TRUNC(G779+G780,2)</f>
        <v>128.22999999999999</v>
      </c>
      <c r="H781" s="45">
        <v>143.6</v>
      </c>
    </row>
    <row r="783" spans="1:8" x14ac:dyDescent="0.25">
      <c r="B783" s="196" t="s">
        <v>45</v>
      </c>
      <c r="C783" s="296" t="s">
        <v>59</v>
      </c>
      <c r="D783" s="296"/>
      <c r="E783" s="296"/>
    </row>
    <row r="784" spans="1:8" x14ac:dyDescent="0.25">
      <c r="B784" s="196" t="s">
        <v>46</v>
      </c>
      <c r="C784" s="297" t="s">
        <v>60</v>
      </c>
      <c r="D784" s="297"/>
      <c r="E784" s="297"/>
    </row>
    <row r="785" spans="1:9" x14ac:dyDescent="0.25">
      <c r="B785" s="196"/>
      <c r="C785" s="195"/>
      <c r="D785" s="195"/>
      <c r="E785" s="195"/>
    </row>
    <row r="786" spans="1:9" ht="18" x14ac:dyDescent="0.25">
      <c r="A786" s="105" t="s">
        <v>298</v>
      </c>
      <c r="B786" s="106" t="s">
        <v>319</v>
      </c>
      <c r="C786" s="20" t="s">
        <v>50</v>
      </c>
      <c r="D786" s="20" t="s">
        <v>36</v>
      </c>
      <c r="E786" s="21" t="s">
        <v>51</v>
      </c>
      <c r="F786" s="22" t="s">
        <v>52</v>
      </c>
      <c r="G786" s="22" t="s">
        <v>49</v>
      </c>
    </row>
    <row r="787" spans="1:9" ht="18" x14ac:dyDescent="0.25">
      <c r="A787" s="18"/>
      <c r="B787" s="111" t="s">
        <v>385</v>
      </c>
      <c r="C787" s="23" t="s">
        <v>37</v>
      </c>
      <c r="D787" s="41" t="s">
        <v>38</v>
      </c>
      <c r="E787" s="52">
        <v>0.6</v>
      </c>
      <c r="F787" s="52">
        <v>6.82</v>
      </c>
      <c r="G787" s="52">
        <f t="shared" ref="G787:G791" si="30">E787*F787</f>
        <v>4.0919999999999996</v>
      </c>
    </row>
    <row r="788" spans="1:9" x14ac:dyDescent="0.25">
      <c r="A788" s="18"/>
      <c r="B788" s="111" t="s">
        <v>344</v>
      </c>
      <c r="C788" s="23" t="s">
        <v>37</v>
      </c>
      <c r="D788" s="41" t="s">
        <v>38</v>
      </c>
      <c r="E788" s="52">
        <v>0.6</v>
      </c>
      <c r="F788" s="52">
        <v>4.47</v>
      </c>
      <c r="G788" s="52">
        <f t="shared" si="30"/>
        <v>2.6819999999999999</v>
      </c>
    </row>
    <row r="789" spans="1:9" ht="18" x14ac:dyDescent="0.25">
      <c r="A789" s="18"/>
      <c r="B789" s="95" t="s">
        <v>473</v>
      </c>
      <c r="C789" s="41" t="s">
        <v>35</v>
      </c>
      <c r="D789" s="41" t="s">
        <v>48</v>
      </c>
      <c r="E789" s="52">
        <v>42</v>
      </c>
      <c r="F789" s="52">
        <v>2.8534000000000002</v>
      </c>
      <c r="G789" s="52">
        <f t="shared" si="30"/>
        <v>119.84280000000001</v>
      </c>
    </row>
    <row r="790" spans="1:9" ht="18" x14ac:dyDescent="0.25">
      <c r="A790" s="18"/>
      <c r="B790" s="95" t="s">
        <v>472</v>
      </c>
      <c r="C790" s="41" t="s">
        <v>35</v>
      </c>
      <c r="D790" s="41" t="s">
        <v>18</v>
      </c>
      <c r="E790" s="55">
        <v>3.0000000000000001E-3</v>
      </c>
      <c r="F790" s="52">
        <f>G806</f>
        <v>357.27539999999999</v>
      </c>
      <c r="G790" s="52">
        <f t="shared" si="30"/>
        <v>1.0718262000000001</v>
      </c>
    </row>
    <row r="791" spans="1:9" ht="18" x14ac:dyDescent="0.25">
      <c r="A791" s="18"/>
      <c r="B791" s="95" t="s">
        <v>474</v>
      </c>
      <c r="C791" s="41" t="s">
        <v>35</v>
      </c>
      <c r="D791" s="41" t="s">
        <v>12</v>
      </c>
      <c r="E791" s="52">
        <v>4.8</v>
      </c>
      <c r="F791" s="52">
        <v>5</v>
      </c>
      <c r="G791" s="52">
        <f t="shared" si="30"/>
        <v>24</v>
      </c>
    </row>
    <row r="792" spans="1:9" x14ac:dyDescent="0.25">
      <c r="A792" s="18"/>
      <c r="B792" s="40"/>
      <c r="C792" s="41"/>
      <c r="D792" s="41"/>
      <c r="E792" s="52"/>
      <c r="F792" s="52"/>
      <c r="G792" s="52"/>
    </row>
    <row r="793" spans="1:9" x14ac:dyDescent="0.25">
      <c r="A793" s="295" t="s">
        <v>39</v>
      </c>
      <c r="B793" s="295"/>
      <c r="C793" s="295"/>
      <c r="D793" s="295"/>
      <c r="E793" s="295"/>
      <c r="F793" s="295"/>
      <c r="G793" s="16">
        <f>SUM(G787:G788)</f>
        <v>6.7739999999999991</v>
      </c>
      <c r="I793" s="17">
        <v>1125</v>
      </c>
    </row>
    <row r="794" spans="1:9" x14ac:dyDescent="0.25">
      <c r="A794" s="295" t="s">
        <v>40</v>
      </c>
      <c r="B794" s="295"/>
      <c r="C794" s="295"/>
      <c r="D794" s="295"/>
      <c r="E794" s="295"/>
      <c r="F794" s="295"/>
      <c r="G794" s="16">
        <f>SUM(G789:G791)</f>
        <v>144.91462620000001</v>
      </c>
    </row>
    <row r="795" spans="1:9" x14ac:dyDescent="0.25">
      <c r="A795" s="295" t="s">
        <v>41</v>
      </c>
      <c r="B795" s="295"/>
      <c r="C795" s="295"/>
      <c r="D795" s="295"/>
      <c r="E795" s="295"/>
      <c r="F795" s="44">
        <f>E9</f>
        <v>0.86599999999999999</v>
      </c>
      <c r="G795" s="16">
        <f>(F795)*G793</f>
        <v>5.8662839999999994</v>
      </c>
      <c r="H795" s="17">
        <v>91.9</v>
      </c>
    </row>
    <row r="796" spans="1:9" x14ac:dyDescent="0.25">
      <c r="A796" s="295" t="s">
        <v>42</v>
      </c>
      <c r="B796" s="295"/>
      <c r="C796" s="295"/>
      <c r="D796" s="295"/>
      <c r="E796" s="295"/>
      <c r="F796" s="44">
        <f>G10</f>
        <v>0.28349999999999997</v>
      </c>
      <c r="G796" s="16">
        <f>SUM(G793,G794,G795)*F796</f>
        <v>44.6668170417</v>
      </c>
    </row>
    <row r="797" spans="1:9" x14ac:dyDescent="0.25">
      <c r="A797" s="295" t="s">
        <v>43</v>
      </c>
      <c r="B797" s="295"/>
      <c r="C797" s="295"/>
      <c r="D797" s="295"/>
      <c r="E797" s="295"/>
      <c r="F797" s="295"/>
      <c r="G797" s="16">
        <f>SUM(G793:G796)</f>
        <v>202.22172724170002</v>
      </c>
    </row>
    <row r="798" spans="1:9" x14ac:dyDescent="0.25">
      <c r="A798" s="295" t="s">
        <v>44</v>
      </c>
      <c r="B798" s="295"/>
      <c r="C798" s="295"/>
      <c r="D798" s="295"/>
      <c r="E798" s="295"/>
      <c r="F798" s="295"/>
      <c r="G798" s="15">
        <f>TRUNC(G796+G797,2)</f>
        <v>246.88</v>
      </c>
      <c r="H798" s="17">
        <v>249.78</v>
      </c>
      <c r="I798" s="25">
        <f>G798-H798</f>
        <v>-2.9000000000000057</v>
      </c>
    </row>
    <row r="800" spans="1:9" ht="27" x14ac:dyDescent="0.25">
      <c r="A800" s="38">
        <v>87373</v>
      </c>
      <c r="B800" s="39" t="s">
        <v>381</v>
      </c>
      <c r="C800" s="20" t="s">
        <v>50</v>
      </c>
      <c r="D800" s="35" t="s">
        <v>36</v>
      </c>
      <c r="E800" s="21" t="s">
        <v>51</v>
      </c>
      <c r="F800" s="22" t="s">
        <v>52</v>
      </c>
      <c r="G800" s="22" t="s">
        <v>49</v>
      </c>
    </row>
    <row r="801" spans="1:9" ht="18" x14ac:dyDescent="0.25">
      <c r="A801" s="18"/>
      <c r="B801" s="80" t="s">
        <v>352</v>
      </c>
      <c r="C801" s="41" t="s">
        <v>35</v>
      </c>
      <c r="D801" s="41" t="s">
        <v>18</v>
      </c>
      <c r="E801" s="81">
        <v>1.2</v>
      </c>
      <c r="F801" s="82">
        <v>45</v>
      </c>
      <c r="G801" s="82">
        <f>E801*F801</f>
        <v>54</v>
      </c>
    </row>
    <row r="802" spans="1:9" x14ac:dyDescent="0.25">
      <c r="A802" s="18"/>
      <c r="B802" s="80" t="s">
        <v>353</v>
      </c>
      <c r="C802" s="41" t="s">
        <v>35</v>
      </c>
      <c r="D802" s="41" t="s">
        <v>48</v>
      </c>
      <c r="E802" s="82">
        <v>435.03</v>
      </c>
      <c r="F802" s="82">
        <v>0.57999999999999996</v>
      </c>
      <c r="G802" s="82">
        <f t="shared" ref="G802" si="31">E802*F802</f>
        <v>252.31739999999996</v>
      </c>
    </row>
    <row r="803" spans="1:9" x14ac:dyDescent="0.25">
      <c r="A803" s="18"/>
      <c r="B803" s="95" t="s">
        <v>344</v>
      </c>
      <c r="C803" s="41" t="s">
        <v>37</v>
      </c>
      <c r="D803" s="41" t="s">
        <v>38</v>
      </c>
      <c r="E803" s="233">
        <v>11.4</v>
      </c>
      <c r="F803" s="82">
        <v>4.47</v>
      </c>
      <c r="G803" s="82">
        <f>E803*F803</f>
        <v>50.957999999999998</v>
      </c>
    </row>
    <row r="804" spans="1:9" x14ac:dyDescent="0.25">
      <c r="A804" s="295" t="s">
        <v>39</v>
      </c>
      <c r="B804" s="295"/>
      <c r="C804" s="295"/>
      <c r="D804" s="295"/>
      <c r="E804" s="295"/>
      <c r="F804" s="295"/>
      <c r="G804" s="90">
        <f>SUM(G803:G803)</f>
        <v>50.957999999999998</v>
      </c>
    </row>
    <row r="805" spans="1:9" x14ac:dyDescent="0.25">
      <c r="A805" s="295" t="s">
        <v>40</v>
      </c>
      <c r="B805" s="295"/>
      <c r="C805" s="295"/>
      <c r="D805" s="295"/>
      <c r="E805" s="295"/>
      <c r="F805" s="295"/>
      <c r="G805" s="90">
        <f>SUM(G801:G802)</f>
        <v>306.31739999999996</v>
      </c>
    </row>
    <row r="806" spans="1:9" x14ac:dyDescent="0.25">
      <c r="A806" s="295" t="s">
        <v>364</v>
      </c>
      <c r="B806" s="295"/>
      <c r="C806" s="295"/>
      <c r="D806" s="295"/>
      <c r="E806" s="295"/>
      <c r="F806" s="295"/>
      <c r="G806" s="91">
        <f>SUM(G804:G805)</f>
        <v>357.27539999999999</v>
      </c>
    </row>
    <row r="809" spans="1:9" ht="18" customHeight="1" x14ac:dyDescent="0.25">
      <c r="B809" s="196" t="s">
        <v>45</v>
      </c>
      <c r="C809" s="296" t="s">
        <v>59</v>
      </c>
      <c r="D809" s="296"/>
      <c r="E809" s="296"/>
    </row>
    <row r="810" spans="1:9" x14ac:dyDescent="0.25">
      <c r="B810" s="196" t="s">
        <v>46</v>
      </c>
      <c r="C810" s="297" t="s">
        <v>60</v>
      </c>
      <c r="D810" s="297"/>
      <c r="E810" s="297"/>
    </row>
    <row r="811" spans="1:9" x14ac:dyDescent="0.25">
      <c r="A811" s="18"/>
      <c r="B811" s="80"/>
      <c r="C811" s="41"/>
      <c r="D811" s="41"/>
      <c r="E811" s="81"/>
      <c r="F811" s="82"/>
      <c r="G811" s="56"/>
    </row>
    <row r="812" spans="1:9" ht="18" x14ac:dyDescent="0.25">
      <c r="A812" s="38" t="s">
        <v>300</v>
      </c>
      <c r="B812" s="39" t="s">
        <v>306</v>
      </c>
      <c r="C812" s="20" t="s">
        <v>50</v>
      </c>
      <c r="D812" s="35" t="s">
        <v>36</v>
      </c>
      <c r="E812" s="21" t="s">
        <v>51</v>
      </c>
      <c r="F812" s="22" t="s">
        <v>52</v>
      </c>
      <c r="G812" s="22" t="s">
        <v>49</v>
      </c>
    </row>
    <row r="813" spans="1:9" ht="18" x14ac:dyDescent="0.25">
      <c r="A813" s="79"/>
      <c r="B813" s="110" t="s">
        <v>456</v>
      </c>
      <c r="C813" s="41" t="s">
        <v>35</v>
      </c>
      <c r="D813" s="41" t="s">
        <v>18</v>
      </c>
      <c r="E813" s="100">
        <v>1.7999999999999999E-2</v>
      </c>
      <c r="F813" s="99">
        <v>45</v>
      </c>
      <c r="G813" s="99">
        <f>F813*E813</f>
        <v>0.80999999999999994</v>
      </c>
    </row>
    <row r="814" spans="1:9" x14ac:dyDescent="0.25">
      <c r="A814" s="79"/>
      <c r="B814" s="95" t="s">
        <v>353</v>
      </c>
      <c r="C814" s="41" t="s">
        <v>35</v>
      </c>
      <c r="D814" s="41" t="s">
        <v>48</v>
      </c>
      <c r="E814" s="99">
        <v>7.8</v>
      </c>
      <c r="F814" s="99">
        <v>0.57999999999999996</v>
      </c>
      <c r="G814" s="99">
        <f t="shared" ref="G814:G815" si="32">F814*E814</f>
        <v>4.524</v>
      </c>
    </row>
    <row r="815" spans="1:9" ht="18" x14ac:dyDescent="0.25">
      <c r="A815" s="79"/>
      <c r="B815" s="95" t="s">
        <v>475</v>
      </c>
      <c r="C815" s="41" t="s">
        <v>35</v>
      </c>
      <c r="D815" s="41" t="s">
        <v>18</v>
      </c>
      <c r="E815" s="99">
        <v>2.3E-2</v>
      </c>
      <c r="F815" s="99">
        <v>66</v>
      </c>
      <c r="G815" s="99">
        <f t="shared" si="32"/>
        <v>1.518</v>
      </c>
    </row>
    <row r="816" spans="1:9" x14ac:dyDescent="0.25">
      <c r="A816" s="97"/>
      <c r="B816" s="95" t="s">
        <v>390</v>
      </c>
      <c r="C816" s="41" t="s">
        <v>37</v>
      </c>
      <c r="D816" s="41" t="s">
        <v>38</v>
      </c>
      <c r="E816" s="82">
        <v>0.15</v>
      </c>
      <c r="F816" s="82">
        <v>5.6</v>
      </c>
      <c r="G816" s="82">
        <f>E816*F816</f>
        <v>0.84</v>
      </c>
      <c r="I816" s="17">
        <v>90</v>
      </c>
    </row>
    <row r="817" spans="1:9" x14ac:dyDescent="0.25">
      <c r="A817" s="18"/>
      <c r="B817" s="111" t="s">
        <v>391</v>
      </c>
      <c r="C817" s="24" t="s">
        <v>37</v>
      </c>
      <c r="D817" s="24" t="s">
        <v>38</v>
      </c>
      <c r="E817" s="114">
        <v>0.4</v>
      </c>
      <c r="F817" s="114">
        <v>4.47</v>
      </c>
      <c r="G817" s="114">
        <f>E817*F817</f>
        <v>1.788</v>
      </c>
    </row>
    <row r="818" spans="1:9" x14ac:dyDescent="0.25">
      <c r="A818" s="18"/>
      <c r="B818" s="40"/>
      <c r="C818" s="41"/>
      <c r="D818" s="41"/>
      <c r="E818" s="42"/>
      <c r="F818" s="43"/>
      <c r="G818" s="43"/>
    </row>
    <row r="819" spans="1:9" x14ac:dyDescent="0.25">
      <c r="A819" s="295" t="s">
        <v>39</v>
      </c>
      <c r="B819" s="295"/>
      <c r="C819" s="295"/>
      <c r="D819" s="295"/>
      <c r="E819" s="295"/>
      <c r="F819" s="295"/>
      <c r="G819" s="90">
        <f>SUM(G816:G817)</f>
        <v>2.6280000000000001</v>
      </c>
    </row>
    <row r="820" spans="1:9" x14ac:dyDescent="0.25">
      <c r="A820" s="295" t="s">
        <v>40</v>
      </c>
      <c r="B820" s="295"/>
      <c r="C820" s="295"/>
      <c r="D820" s="295"/>
      <c r="E820" s="295"/>
      <c r="F820" s="295"/>
      <c r="G820" s="90">
        <f>SUM(G813)</f>
        <v>0.80999999999999994</v>
      </c>
    </row>
    <row r="821" spans="1:9" x14ac:dyDescent="0.25">
      <c r="A821" s="295" t="s">
        <v>41</v>
      </c>
      <c r="B821" s="295"/>
      <c r="C821" s="295"/>
      <c r="D821" s="295"/>
      <c r="E821" s="295"/>
      <c r="F821" s="44">
        <f>E9</f>
        <v>0.86599999999999999</v>
      </c>
      <c r="G821" s="90">
        <f>(F821)*G819</f>
        <v>2.2758479999999999</v>
      </c>
    </row>
    <row r="822" spans="1:9" x14ac:dyDescent="0.25">
      <c r="A822" s="295" t="s">
        <v>42</v>
      </c>
      <c r="B822" s="295"/>
      <c r="C822" s="295"/>
      <c r="D822" s="295"/>
      <c r="E822" s="295"/>
      <c r="F822" s="44">
        <f>G10</f>
        <v>0.28349999999999997</v>
      </c>
      <c r="G822" s="90">
        <f>SUM(G819,G820,G821)*F822</f>
        <v>1.619875908</v>
      </c>
    </row>
    <row r="823" spans="1:9" x14ac:dyDescent="0.25">
      <c r="A823" s="295" t="s">
        <v>43</v>
      </c>
      <c r="B823" s="295"/>
      <c r="C823" s="295"/>
      <c r="D823" s="295"/>
      <c r="E823" s="295"/>
      <c r="F823" s="295"/>
      <c r="G823" s="90">
        <f>SUM(G819:G822)</f>
        <v>7.3337239080000005</v>
      </c>
    </row>
    <row r="824" spans="1:9" x14ac:dyDescent="0.25">
      <c r="A824" s="295" t="s">
        <v>44</v>
      </c>
      <c r="B824" s="295"/>
      <c r="C824" s="295"/>
      <c r="D824" s="295"/>
      <c r="E824" s="295"/>
      <c r="F824" s="295"/>
      <c r="G824" s="91">
        <f>TRUNC(G822+G823,2)+0.01</f>
        <v>8.9599999999999991</v>
      </c>
      <c r="H824" s="17">
        <v>11.14</v>
      </c>
      <c r="I824" s="25">
        <f>G824-H824</f>
        <v>-2.1800000000000015</v>
      </c>
    </row>
    <row r="825" spans="1:9" x14ac:dyDescent="0.25">
      <c r="A825" s="46"/>
      <c r="B825" s="46"/>
      <c r="C825" s="46"/>
      <c r="D825" s="46"/>
      <c r="E825" s="46"/>
      <c r="F825" s="46"/>
      <c r="G825" s="47"/>
    </row>
    <row r="826" spans="1:9" x14ac:dyDescent="0.25">
      <c r="A826" s="46"/>
      <c r="B826" s="46"/>
      <c r="C826" s="46"/>
      <c r="D826" s="46"/>
      <c r="E826" s="46"/>
      <c r="F826" s="46"/>
      <c r="G826" s="47"/>
    </row>
    <row r="827" spans="1:9" x14ac:dyDescent="0.25">
      <c r="A827" s="46"/>
      <c r="B827" s="48" t="s">
        <v>45</v>
      </c>
      <c r="C827" s="296" t="s">
        <v>59</v>
      </c>
      <c r="D827" s="296"/>
      <c r="E827" s="296"/>
      <c r="F827" s="46"/>
      <c r="G827" s="47"/>
      <c r="I827" s="25"/>
    </row>
    <row r="828" spans="1:9" x14ac:dyDescent="0.25">
      <c r="A828" s="46"/>
      <c r="B828" s="48" t="s">
        <v>46</v>
      </c>
      <c r="C828" s="309" t="s">
        <v>60</v>
      </c>
      <c r="D828" s="309"/>
      <c r="E828" s="309"/>
      <c r="F828" s="46"/>
      <c r="G828" s="47"/>
    </row>
    <row r="829" spans="1:9" x14ac:dyDescent="0.25">
      <c r="A829" s="46"/>
      <c r="B829" s="196"/>
      <c r="C829" s="198"/>
      <c r="D829" s="198"/>
      <c r="E829" s="198"/>
      <c r="F829" s="46"/>
      <c r="G829" s="47"/>
    </row>
    <row r="830" spans="1:9" ht="27" x14ac:dyDescent="0.25">
      <c r="A830" s="33" t="s">
        <v>301</v>
      </c>
      <c r="B830" s="19" t="s">
        <v>320</v>
      </c>
      <c r="C830" s="20" t="s">
        <v>50</v>
      </c>
      <c r="D830" s="20" t="s">
        <v>36</v>
      </c>
      <c r="E830" s="21" t="s">
        <v>51</v>
      </c>
      <c r="F830" s="22" t="s">
        <v>52</v>
      </c>
      <c r="G830" s="22" t="s">
        <v>49</v>
      </c>
    </row>
    <row r="831" spans="1:9" ht="18" x14ac:dyDescent="0.25">
      <c r="A831" s="18"/>
      <c r="B831" s="110" t="s">
        <v>478</v>
      </c>
      <c r="C831" s="41" t="s">
        <v>35</v>
      </c>
      <c r="D831" s="41" t="s">
        <v>9</v>
      </c>
      <c r="E831" s="100">
        <v>2.5000000000000001E-3</v>
      </c>
      <c r="F831" s="99">
        <v>37.479999999999997</v>
      </c>
      <c r="G831" s="99">
        <f>F831*E831</f>
        <v>9.3699999999999992E-2</v>
      </c>
    </row>
    <row r="832" spans="1:9" ht="18" x14ac:dyDescent="0.25">
      <c r="A832" s="18"/>
      <c r="B832" s="110" t="s">
        <v>477</v>
      </c>
      <c r="C832" s="41" t="s">
        <v>35</v>
      </c>
      <c r="D832" s="41" t="s">
        <v>9</v>
      </c>
      <c r="E832" s="100">
        <v>4.0000000000000001E-3</v>
      </c>
      <c r="F832" s="99">
        <v>32.549999999999997</v>
      </c>
      <c r="G832" s="99">
        <f>F832*E832</f>
        <v>0.13019999999999998</v>
      </c>
    </row>
    <row r="833" spans="1:7" ht="18" x14ac:dyDescent="0.25">
      <c r="A833" s="18"/>
      <c r="B833" s="110" t="s">
        <v>479</v>
      </c>
      <c r="C833" s="41" t="s">
        <v>35</v>
      </c>
      <c r="D833" s="41" t="s">
        <v>9</v>
      </c>
      <c r="E833" s="100">
        <v>0.127</v>
      </c>
      <c r="F833" s="99">
        <v>0.33</v>
      </c>
      <c r="G833" s="99">
        <f>F833*E833</f>
        <v>4.1910000000000003E-2</v>
      </c>
    </row>
    <row r="834" spans="1:7" ht="18" x14ac:dyDescent="0.25">
      <c r="A834" s="18"/>
      <c r="B834" s="95" t="s">
        <v>476</v>
      </c>
      <c r="C834" s="41" t="s">
        <v>35</v>
      </c>
      <c r="D834" s="41" t="s">
        <v>12</v>
      </c>
      <c r="E834" s="99">
        <v>1.05</v>
      </c>
      <c r="F834" s="99">
        <v>4.6500000000000004</v>
      </c>
      <c r="G834" s="99">
        <f t="shared" ref="G834:G836" si="33">F834*E834</f>
        <v>4.8825000000000003</v>
      </c>
    </row>
    <row r="835" spans="1:7" ht="18" x14ac:dyDescent="0.25">
      <c r="A835" s="18"/>
      <c r="B835" s="111" t="s">
        <v>367</v>
      </c>
      <c r="C835" s="23" t="s">
        <v>37</v>
      </c>
      <c r="D835" s="41" t="s">
        <v>38</v>
      </c>
      <c r="E835" s="104">
        <v>0.15</v>
      </c>
      <c r="F835" s="99">
        <v>5.6</v>
      </c>
      <c r="G835" s="99">
        <f t="shared" si="33"/>
        <v>0.84</v>
      </c>
    </row>
    <row r="836" spans="1:7" ht="27" x14ac:dyDescent="0.25">
      <c r="A836" s="18"/>
      <c r="B836" s="95" t="s">
        <v>371</v>
      </c>
      <c r="C836" s="41" t="s">
        <v>37</v>
      </c>
      <c r="D836" s="41" t="s">
        <v>38</v>
      </c>
      <c r="E836" s="104">
        <v>0.15</v>
      </c>
      <c r="F836" s="99">
        <v>4.47</v>
      </c>
      <c r="G836" s="99">
        <f t="shared" si="33"/>
        <v>0.67049999999999998</v>
      </c>
    </row>
    <row r="837" spans="1:7" x14ac:dyDescent="0.25">
      <c r="A837" s="295" t="s">
        <v>39</v>
      </c>
      <c r="B837" s="295"/>
      <c r="C837" s="295"/>
      <c r="D837" s="295"/>
      <c r="E837" s="295"/>
      <c r="F837" s="295"/>
      <c r="G837" s="90">
        <f>SUM(G835:G836)</f>
        <v>1.5105</v>
      </c>
    </row>
    <row r="838" spans="1:7" x14ac:dyDescent="0.25">
      <c r="A838" s="295" t="s">
        <v>40</v>
      </c>
      <c r="B838" s="295"/>
      <c r="C838" s="295"/>
      <c r="D838" s="295"/>
      <c r="E838" s="295"/>
      <c r="F838" s="295"/>
      <c r="G838" s="90">
        <f>SUM(G831:G834)</f>
        <v>5.1483100000000004</v>
      </c>
    </row>
    <row r="839" spans="1:7" x14ac:dyDescent="0.25">
      <c r="A839" s="295" t="s">
        <v>41</v>
      </c>
      <c r="B839" s="295"/>
      <c r="C839" s="295"/>
      <c r="D839" s="295"/>
      <c r="E839" s="295"/>
      <c r="F839" s="44">
        <f>E9</f>
        <v>0.86599999999999999</v>
      </c>
      <c r="G839" s="90">
        <f>(F839)*G837</f>
        <v>1.308093</v>
      </c>
    </row>
    <row r="840" spans="1:7" x14ac:dyDescent="0.25">
      <c r="A840" s="295" t="s">
        <v>42</v>
      </c>
      <c r="B840" s="295"/>
      <c r="C840" s="295"/>
      <c r="D840" s="295"/>
      <c r="E840" s="295"/>
      <c r="F840" s="44">
        <f>G10</f>
        <v>0.28349999999999997</v>
      </c>
      <c r="G840" s="90">
        <f>SUM(G837,G838,G839)*F840</f>
        <v>2.2586170004999997</v>
      </c>
    </row>
    <row r="841" spans="1:7" x14ac:dyDescent="0.25">
      <c r="A841" s="295" t="s">
        <v>43</v>
      </c>
      <c r="B841" s="295"/>
      <c r="C841" s="295"/>
      <c r="D841" s="295"/>
      <c r="E841" s="295"/>
      <c r="F841" s="295"/>
      <c r="G841" s="90">
        <f>SUM(G837:G840)</f>
        <v>10.2255200005</v>
      </c>
    </row>
    <row r="842" spans="1:7" x14ac:dyDescent="0.25">
      <c r="A842" s="295" t="s">
        <v>44</v>
      </c>
      <c r="B842" s="295"/>
      <c r="C842" s="295"/>
      <c r="D842" s="295"/>
      <c r="E842" s="295"/>
      <c r="F842" s="295"/>
      <c r="G842" s="91">
        <f>TRUNC(G840+G841,2)+0.01</f>
        <v>12.49</v>
      </c>
    </row>
    <row r="844" spans="1:7" x14ac:dyDescent="0.25">
      <c r="B844" s="196" t="s">
        <v>45</v>
      </c>
      <c r="C844" s="296" t="s">
        <v>59</v>
      </c>
      <c r="D844" s="296"/>
      <c r="E844" s="296"/>
    </row>
    <row r="845" spans="1:7" x14ac:dyDescent="0.25">
      <c r="B845" s="196" t="s">
        <v>46</v>
      </c>
      <c r="C845" s="297" t="s">
        <v>60</v>
      </c>
      <c r="D845" s="297"/>
      <c r="E845" s="297"/>
    </row>
    <row r="846" spans="1:7" x14ac:dyDescent="0.25">
      <c r="A846" s="46"/>
      <c r="B846" s="196"/>
      <c r="C846" s="198"/>
      <c r="D846" s="198"/>
      <c r="E846" s="198"/>
      <c r="F846" s="46"/>
      <c r="G846" s="47"/>
    </row>
    <row r="847" spans="1:7" ht="27" x14ac:dyDescent="0.25">
      <c r="A847" s="33" t="s">
        <v>302</v>
      </c>
      <c r="B847" s="19" t="s">
        <v>321</v>
      </c>
      <c r="C847" s="20" t="s">
        <v>50</v>
      </c>
      <c r="D847" s="20" t="s">
        <v>36</v>
      </c>
      <c r="E847" s="21" t="s">
        <v>51</v>
      </c>
      <c r="F847" s="22" t="s">
        <v>52</v>
      </c>
      <c r="G847" s="22" t="s">
        <v>49</v>
      </c>
    </row>
    <row r="848" spans="1:7" ht="18" x14ac:dyDescent="0.25">
      <c r="A848" s="18"/>
      <c r="B848" s="110" t="s">
        <v>478</v>
      </c>
      <c r="C848" s="41" t="s">
        <v>35</v>
      </c>
      <c r="D848" s="41" t="s">
        <v>9</v>
      </c>
      <c r="E848" s="100">
        <v>8.3000000000000001E-3</v>
      </c>
      <c r="F848" s="99">
        <v>37.479999999999997</v>
      </c>
      <c r="G848" s="99">
        <f>F848*E848</f>
        <v>0.31108399999999997</v>
      </c>
    </row>
    <row r="849" spans="1:8" ht="18" x14ac:dyDescent="0.25">
      <c r="A849" s="18"/>
      <c r="B849" s="110" t="s">
        <v>479</v>
      </c>
      <c r="C849" s="41" t="s">
        <v>35</v>
      </c>
      <c r="D849" s="41" t="s">
        <v>9</v>
      </c>
      <c r="E849" s="100">
        <v>0.127</v>
      </c>
      <c r="F849" s="99">
        <v>0.33</v>
      </c>
      <c r="G849" s="99">
        <f>F849*E849</f>
        <v>4.1910000000000003E-2</v>
      </c>
    </row>
    <row r="850" spans="1:8" ht="18" x14ac:dyDescent="0.25">
      <c r="A850" s="18"/>
      <c r="B850" s="110" t="s">
        <v>477</v>
      </c>
      <c r="C850" s="41" t="s">
        <v>35</v>
      </c>
      <c r="D850" s="41" t="s">
        <v>9</v>
      </c>
      <c r="E850" s="100">
        <v>1.2999999999999999E-2</v>
      </c>
      <c r="F850" s="99">
        <v>32.549999999999997</v>
      </c>
      <c r="G850" s="99">
        <f>F850*E850</f>
        <v>0.42314999999999997</v>
      </c>
    </row>
    <row r="851" spans="1:8" ht="18" x14ac:dyDescent="0.25">
      <c r="A851" s="18"/>
      <c r="B851" s="95" t="s">
        <v>480</v>
      </c>
      <c r="C851" s="41" t="s">
        <v>35</v>
      </c>
      <c r="D851" s="41" t="s">
        <v>12</v>
      </c>
      <c r="E851" s="99">
        <v>1.3</v>
      </c>
      <c r="F851" s="99">
        <v>7.15</v>
      </c>
      <c r="G851" s="99">
        <f t="shared" ref="G851:G853" si="34">F851*E851</f>
        <v>9.2949999999999999</v>
      </c>
    </row>
    <row r="852" spans="1:8" ht="18" x14ac:dyDescent="0.25">
      <c r="A852" s="18"/>
      <c r="B852" s="111" t="s">
        <v>367</v>
      </c>
      <c r="C852" s="23" t="s">
        <v>37</v>
      </c>
      <c r="D852" s="41" t="s">
        <v>38</v>
      </c>
      <c r="E852" s="104">
        <v>0.3</v>
      </c>
      <c r="F852" s="99">
        <v>5.6</v>
      </c>
      <c r="G852" s="99">
        <f t="shared" si="34"/>
        <v>1.68</v>
      </c>
    </row>
    <row r="853" spans="1:8" ht="27" x14ac:dyDescent="0.25">
      <c r="A853" s="18"/>
      <c r="B853" s="95" t="s">
        <v>371</v>
      </c>
      <c r="C853" s="41" t="s">
        <v>37</v>
      </c>
      <c r="D853" s="41" t="s">
        <v>38</v>
      </c>
      <c r="E853" s="104">
        <v>0.3</v>
      </c>
      <c r="F853" s="99">
        <v>4.47</v>
      </c>
      <c r="G853" s="99">
        <f t="shared" si="34"/>
        <v>1.341</v>
      </c>
    </row>
    <row r="854" spans="1:8" x14ac:dyDescent="0.25">
      <c r="A854" s="295" t="s">
        <v>39</v>
      </c>
      <c r="B854" s="295"/>
      <c r="C854" s="295"/>
      <c r="D854" s="295"/>
      <c r="E854" s="295"/>
      <c r="F854" s="295"/>
      <c r="G854" s="90">
        <f>SUM(G852:G853)</f>
        <v>3.0209999999999999</v>
      </c>
    </row>
    <row r="855" spans="1:8" x14ac:dyDescent="0.25">
      <c r="A855" s="295" t="s">
        <v>40</v>
      </c>
      <c r="B855" s="295"/>
      <c r="C855" s="295"/>
      <c r="D855" s="295"/>
      <c r="E855" s="295"/>
      <c r="F855" s="295"/>
      <c r="G855" s="90">
        <f>SUM(G848:G851)</f>
        <v>10.071144</v>
      </c>
    </row>
    <row r="856" spans="1:8" x14ac:dyDescent="0.25">
      <c r="A856" s="295" t="s">
        <v>41</v>
      </c>
      <c r="B856" s="295"/>
      <c r="C856" s="295"/>
      <c r="D856" s="295"/>
      <c r="E856" s="295"/>
      <c r="F856" s="44">
        <f>E9</f>
        <v>0.86599999999999999</v>
      </c>
      <c r="G856" s="90">
        <f>(F856)*G854</f>
        <v>2.6161859999999999</v>
      </c>
    </row>
    <row r="857" spans="1:8" x14ac:dyDescent="0.25">
      <c r="A857" s="295" t="s">
        <v>42</v>
      </c>
      <c r="B857" s="295"/>
      <c r="C857" s="295"/>
      <c r="D857" s="295"/>
      <c r="E857" s="295"/>
      <c r="F857" s="44">
        <f>G10</f>
        <v>0.28349999999999997</v>
      </c>
      <c r="G857" s="90">
        <f>SUM(G854,G855,G856)*F857</f>
        <v>4.453311555</v>
      </c>
    </row>
    <row r="858" spans="1:8" x14ac:dyDescent="0.25">
      <c r="A858" s="295" t="s">
        <v>43</v>
      </c>
      <c r="B858" s="295"/>
      <c r="C858" s="295"/>
      <c r="D858" s="295"/>
      <c r="E858" s="295"/>
      <c r="F858" s="295"/>
      <c r="G858" s="90">
        <f>SUM(G854:G857)</f>
        <v>20.161641554999999</v>
      </c>
    </row>
    <row r="859" spans="1:8" x14ac:dyDescent="0.25">
      <c r="A859" s="295" t="s">
        <v>44</v>
      </c>
      <c r="B859" s="295"/>
      <c r="C859" s="295"/>
      <c r="D859" s="295"/>
      <c r="E859" s="295"/>
      <c r="F859" s="295"/>
      <c r="G859" s="91">
        <f>TRUNC(G857+G858,2)+0.01</f>
        <v>24.62</v>
      </c>
      <c r="H859" s="45">
        <v>37.5</v>
      </c>
    </row>
    <row r="861" spans="1:8" x14ac:dyDescent="0.25">
      <c r="B861" s="48" t="s">
        <v>45</v>
      </c>
      <c r="C861" s="296" t="s">
        <v>59</v>
      </c>
      <c r="D861" s="296"/>
      <c r="E861" s="296"/>
    </row>
    <row r="862" spans="1:8" x14ac:dyDescent="0.25">
      <c r="B862" s="48" t="s">
        <v>46</v>
      </c>
      <c r="C862" s="297" t="s">
        <v>60</v>
      </c>
      <c r="D862" s="297"/>
      <c r="E862" s="297"/>
    </row>
    <row r="863" spans="1:8" ht="27" x14ac:dyDescent="0.25">
      <c r="A863" s="105" t="s">
        <v>303</v>
      </c>
      <c r="B863" s="106" t="s">
        <v>309</v>
      </c>
      <c r="C863" s="107" t="s">
        <v>50</v>
      </c>
      <c r="D863" s="107" t="s">
        <v>36</v>
      </c>
      <c r="E863" s="108" t="s">
        <v>51</v>
      </c>
      <c r="F863" s="109" t="s">
        <v>52</v>
      </c>
      <c r="G863" s="109" t="s">
        <v>49</v>
      </c>
    </row>
    <row r="864" spans="1:8" ht="18" x14ac:dyDescent="0.25">
      <c r="A864" s="18"/>
      <c r="B864" s="110" t="s">
        <v>386</v>
      </c>
      <c r="C864" s="41" t="s">
        <v>35</v>
      </c>
      <c r="D864" s="41" t="s">
        <v>15</v>
      </c>
      <c r="E864" s="104">
        <v>7.0000000000000007E-2</v>
      </c>
      <c r="F864" s="99">
        <f>G888</f>
        <v>268.73500000000001</v>
      </c>
      <c r="G864" s="99">
        <f>F864*E864</f>
        <v>18.811450000000004</v>
      </c>
    </row>
    <row r="865" spans="1:9" ht="27" x14ac:dyDescent="0.25">
      <c r="A865" s="18"/>
      <c r="B865" s="110" t="s">
        <v>388</v>
      </c>
      <c r="C865" s="41" t="s">
        <v>35</v>
      </c>
      <c r="D865" s="41" t="s">
        <v>15</v>
      </c>
      <c r="E865" s="104">
        <v>1.05</v>
      </c>
      <c r="F865" s="99">
        <v>8.4420000000000002</v>
      </c>
      <c r="G865" s="99">
        <f>E865*F865</f>
        <v>8.8641000000000005</v>
      </c>
    </row>
    <row r="866" spans="1:9" x14ac:dyDescent="0.25">
      <c r="A866" s="18"/>
      <c r="B866" s="111" t="s">
        <v>344</v>
      </c>
      <c r="C866" s="23" t="s">
        <v>37</v>
      </c>
      <c r="D866" s="41" t="s">
        <v>38</v>
      </c>
      <c r="E866" s="104">
        <v>1.3</v>
      </c>
      <c r="F866" s="99">
        <v>4.47</v>
      </c>
      <c r="G866" s="99">
        <f t="shared" ref="G866:G868" si="35">F866*E866</f>
        <v>5.8109999999999999</v>
      </c>
    </row>
    <row r="867" spans="1:9" x14ac:dyDescent="0.25">
      <c r="A867" s="18"/>
      <c r="B867" s="111" t="s">
        <v>387</v>
      </c>
      <c r="C867" s="23" t="s">
        <v>37</v>
      </c>
      <c r="D867" s="41" t="s">
        <v>38</v>
      </c>
      <c r="E867" s="104">
        <v>0.12</v>
      </c>
      <c r="F867" s="99">
        <v>5.6</v>
      </c>
      <c r="G867" s="99">
        <f t="shared" ref="G867" si="36">F867*E867</f>
        <v>0.67199999999999993</v>
      </c>
    </row>
    <row r="868" spans="1:9" x14ac:dyDescent="0.25">
      <c r="A868" s="18"/>
      <c r="B868" s="111" t="s">
        <v>355</v>
      </c>
      <c r="C868" s="23" t="s">
        <v>37</v>
      </c>
      <c r="D868" s="41" t="s">
        <v>38</v>
      </c>
      <c r="E868" s="104">
        <v>0.24</v>
      </c>
      <c r="F868" s="99">
        <v>5.6</v>
      </c>
      <c r="G868" s="99">
        <f t="shared" si="35"/>
        <v>1.3439999999999999</v>
      </c>
    </row>
    <row r="869" spans="1:9" x14ac:dyDescent="0.25">
      <c r="A869" s="18"/>
      <c r="B869" s="40"/>
      <c r="C869" s="41"/>
      <c r="D869" s="41"/>
      <c r="E869" s="104"/>
      <c r="F869" s="99"/>
      <c r="G869" s="99"/>
    </row>
    <row r="870" spans="1:9" x14ac:dyDescent="0.25">
      <c r="A870" s="295" t="s">
        <v>39</v>
      </c>
      <c r="B870" s="295"/>
      <c r="C870" s="295"/>
      <c r="D870" s="295"/>
      <c r="E870" s="295"/>
      <c r="F870" s="295"/>
      <c r="G870" s="90">
        <f>SUM(G866:G869)</f>
        <v>7.827</v>
      </c>
    </row>
    <row r="871" spans="1:9" x14ac:dyDescent="0.25">
      <c r="A871" s="295" t="s">
        <v>40</v>
      </c>
      <c r="B871" s="295"/>
      <c r="C871" s="295"/>
      <c r="D871" s="295"/>
      <c r="E871" s="295"/>
      <c r="F871" s="295"/>
      <c r="G871" s="90">
        <f>SUM(G864:G865)</f>
        <v>27.675550000000005</v>
      </c>
    </row>
    <row r="872" spans="1:9" x14ac:dyDescent="0.25">
      <c r="A872" s="295" t="s">
        <v>41</v>
      </c>
      <c r="B872" s="295"/>
      <c r="C872" s="295"/>
      <c r="D872" s="295"/>
      <c r="E872" s="295"/>
      <c r="F872" s="44">
        <f>E9</f>
        <v>0.86599999999999999</v>
      </c>
      <c r="G872" s="90">
        <f>SUM(G866:G868)</f>
        <v>7.827</v>
      </c>
    </row>
    <row r="873" spans="1:9" x14ac:dyDescent="0.25">
      <c r="A873" s="295" t="s">
        <v>42</v>
      </c>
      <c r="B873" s="295"/>
      <c r="C873" s="295"/>
      <c r="D873" s="295"/>
      <c r="E873" s="295"/>
      <c r="F873" s="44">
        <f>G10</f>
        <v>0.28349999999999997</v>
      </c>
      <c r="G873" s="90">
        <f>SUM(G870,G871,G872)*F873</f>
        <v>12.283927425</v>
      </c>
    </row>
    <row r="874" spans="1:9" x14ac:dyDescent="0.25">
      <c r="A874" s="295" t="s">
        <v>43</v>
      </c>
      <c r="B874" s="295"/>
      <c r="C874" s="295"/>
      <c r="D874" s="295"/>
      <c r="E874" s="295"/>
      <c r="F874" s="295"/>
      <c r="G874" s="90">
        <f>SUM(G870:G873)</f>
        <v>55.613477425000006</v>
      </c>
    </row>
    <row r="875" spans="1:9" x14ac:dyDescent="0.25">
      <c r="A875" s="295" t="s">
        <v>44</v>
      </c>
      <c r="B875" s="295"/>
      <c r="C875" s="295"/>
      <c r="D875" s="295"/>
      <c r="E875" s="295"/>
      <c r="F875" s="295"/>
      <c r="G875" s="91">
        <f>TRUNC(G873+G874,2)+0.01</f>
        <v>67.900000000000006</v>
      </c>
      <c r="H875" s="17">
        <v>68.05</v>
      </c>
      <c r="I875" s="25">
        <f>G875-H875</f>
        <v>-0.14999999999999147</v>
      </c>
    </row>
    <row r="877" spans="1:9" ht="18" x14ac:dyDescent="0.25">
      <c r="A877" s="254" t="s">
        <v>356</v>
      </c>
      <c r="B877" s="39" t="s">
        <v>358</v>
      </c>
      <c r="C877" s="20" t="s">
        <v>50</v>
      </c>
      <c r="D877" s="35" t="s">
        <v>36</v>
      </c>
      <c r="E877" s="21" t="s">
        <v>51</v>
      </c>
      <c r="F877" s="22" t="s">
        <v>52</v>
      </c>
      <c r="G877" s="22" t="s">
        <v>49</v>
      </c>
    </row>
    <row r="878" spans="1:9" x14ac:dyDescent="0.25">
      <c r="A878" s="92"/>
      <c r="B878" s="93" t="s">
        <v>352</v>
      </c>
      <c r="C878" s="85" t="s">
        <v>35</v>
      </c>
      <c r="D878" s="85" t="s">
        <v>18</v>
      </c>
      <c r="E878" s="86">
        <v>0.6</v>
      </c>
      <c r="F878" s="87">
        <v>45</v>
      </c>
      <c r="G878" s="87">
        <f>E878*F878</f>
        <v>27</v>
      </c>
    </row>
    <row r="879" spans="1:9" x14ac:dyDescent="0.25">
      <c r="A879" s="89"/>
      <c r="B879" s="94" t="s">
        <v>353</v>
      </c>
      <c r="C879" s="41" t="s">
        <v>35</v>
      </c>
      <c r="D879" s="41" t="s">
        <v>48</v>
      </c>
      <c r="E879" s="81">
        <v>320</v>
      </c>
      <c r="F879" s="82">
        <v>0.57999999999999996</v>
      </c>
      <c r="G879" s="82">
        <f>E879*F879</f>
        <v>185.6</v>
      </c>
    </row>
    <row r="880" spans="1:9" ht="18" x14ac:dyDescent="0.25">
      <c r="A880" s="89"/>
      <c r="B880" s="253" t="s">
        <v>354</v>
      </c>
      <c r="C880" s="41" t="s">
        <v>35</v>
      </c>
      <c r="D880" s="41" t="s">
        <v>18</v>
      </c>
      <c r="E880" s="81">
        <v>0.6</v>
      </c>
      <c r="F880" s="82">
        <v>66</v>
      </c>
      <c r="G880" s="82">
        <f t="shared" ref="G880:G881" si="37">E880*F880</f>
        <v>39.6</v>
      </c>
    </row>
    <row r="881" spans="1:9" ht="18" x14ac:dyDescent="0.25">
      <c r="A881" s="89"/>
      <c r="B881" s="253" t="s">
        <v>351</v>
      </c>
      <c r="C881" s="41" t="s">
        <v>64</v>
      </c>
      <c r="D881" s="41" t="s">
        <v>47</v>
      </c>
      <c r="E881" s="81">
        <v>1.5</v>
      </c>
      <c r="F881" s="82">
        <v>1.33</v>
      </c>
      <c r="G881" s="82">
        <f t="shared" si="37"/>
        <v>1.9950000000000001</v>
      </c>
    </row>
    <row r="882" spans="1:9" ht="18" x14ac:dyDescent="0.25">
      <c r="A882" s="89"/>
      <c r="B882" s="253" t="s">
        <v>350</v>
      </c>
      <c r="C882" s="41" t="s">
        <v>37</v>
      </c>
      <c r="D882" s="41" t="s">
        <v>38</v>
      </c>
      <c r="E882" s="81">
        <v>1</v>
      </c>
      <c r="F882" s="82">
        <v>5.6</v>
      </c>
      <c r="G882" s="82">
        <f>E882*F882</f>
        <v>5.6</v>
      </c>
    </row>
    <row r="883" spans="1:9" x14ac:dyDescent="0.25">
      <c r="A883" s="89"/>
      <c r="B883" s="95" t="s">
        <v>344</v>
      </c>
      <c r="C883" s="41" t="s">
        <v>37</v>
      </c>
      <c r="D883" s="41" t="s">
        <v>38</v>
      </c>
      <c r="E883" s="81">
        <v>2</v>
      </c>
      <c r="F883" s="82">
        <v>4.47</v>
      </c>
      <c r="G883" s="82">
        <f>E883*F883</f>
        <v>8.94</v>
      </c>
    </row>
    <row r="884" spans="1:9" x14ac:dyDescent="0.25">
      <c r="A884" s="18"/>
      <c r="B884" s="40"/>
      <c r="C884" s="41"/>
      <c r="D884" s="41"/>
      <c r="E884" s="42"/>
      <c r="F884" s="43"/>
      <c r="G884" s="43"/>
    </row>
    <row r="885" spans="1:9" x14ac:dyDescent="0.25">
      <c r="A885" s="295" t="s">
        <v>39</v>
      </c>
      <c r="B885" s="295"/>
      <c r="C885" s="295"/>
      <c r="D885" s="295"/>
      <c r="E885" s="295"/>
      <c r="F885" s="295"/>
      <c r="G885" s="90">
        <f>SUM(G882:G883)</f>
        <v>14.54</v>
      </c>
    </row>
    <row r="886" spans="1:9" x14ac:dyDescent="0.25">
      <c r="A886" s="295" t="s">
        <v>65</v>
      </c>
      <c r="B886" s="295"/>
      <c r="C886" s="295"/>
      <c r="D886" s="295"/>
      <c r="E886" s="295"/>
      <c r="F886" s="295"/>
      <c r="G886" s="90">
        <f>SUM(G881)</f>
        <v>1.9950000000000001</v>
      </c>
    </row>
    <row r="887" spans="1:9" x14ac:dyDescent="0.25">
      <c r="A887" s="295" t="s">
        <v>40</v>
      </c>
      <c r="B887" s="295"/>
      <c r="C887" s="295"/>
      <c r="D887" s="295"/>
      <c r="E887" s="295"/>
      <c r="F887" s="295"/>
      <c r="G887" s="90">
        <f>SUM(G878:G880)</f>
        <v>252.2</v>
      </c>
    </row>
    <row r="888" spans="1:9" x14ac:dyDescent="0.25">
      <c r="A888" s="295" t="s">
        <v>357</v>
      </c>
      <c r="B888" s="295"/>
      <c r="C888" s="295"/>
      <c r="D888" s="295"/>
      <c r="E888" s="295"/>
      <c r="F888" s="295"/>
      <c r="G888" s="91">
        <f>SUM(G885:G887)</f>
        <v>268.73500000000001</v>
      </c>
      <c r="H888" s="17">
        <v>282.86</v>
      </c>
      <c r="I888" s="25">
        <f>G888-H888</f>
        <v>-14.125</v>
      </c>
    </row>
    <row r="892" spans="1:9" x14ac:dyDescent="0.25">
      <c r="B892" s="112" t="s">
        <v>45</v>
      </c>
      <c r="C892" s="296" t="s">
        <v>59</v>
      </c>
      <c r="D892" s="296"/>
      <c r="E892" s="296"/>
    </row>
    <row r="893" spans="1:9" x14ac:dyDescent="0.25">
      <c r="B893" s="48" t="s">
        <v>46</v>
      </c>
      <c r="C893" s="308" t="s">
        <v>60</v>
      </c>
      <c r="D893" s="308"/>
      <c r="E893" s="308"/>
    </row>
  </sheetData>
  <mergeCells count="442">
    <mergeCell ref="C845:E845"/>
    <mergeCell ref="A870:F870"/>
    <mergeCell ref="A871:F871"/>
    <mergeCell ref="A839:E839"/>
    <mergeCell ref="A841:F841"/>
    <mergeCell ref="C844:E844"/>
    <mergeCell ref="A840:E840"/>
    <mergeCell ref="A842:F842"/>
    <mergeCell ref="A820:F820"/>
    <mergeCell ref="A821:E821"/>
    <mergeCell ref="A822:E822"/>
    <mergeCell ref="A823:F823"/>
    <mergeCell ref="A824:F824"/>
    <mergeCell ref="C827:E827"/>
    <mergeCell ref="C828:E828"/>
    <mergeCell ref="A838:F838"/>
    <mergeCell ref="C892:E892"/>
    <mergeCell ref="C893:E893"/>
    <mergeCell ref="A854:F854"/>
    <mergeCell ref="A855:F855"/>
    <mergeCell ref="A856:E856"/>
    <mergeCell ref="A857:E857"/>
    <mergeCell ref="A858:F858"/>
    <mergeCell ref="A859:F859"/>
    <mergeCell ref="C861:E861"/>
    <mergeCell ref="C862:E862"/>
    <mergeCell ref="A887:F887"/>
    <mergeCell ref="A888:F888"/>
    <mergeCell ref="A885:F885"/>
    <mergeCell ref="A886:F886"/>
    <mergeCell ref="A872:E872"/>
    <mergeCell ref="A873:E873"/>
    <mergeCell ref="A874:F874"/>
    <mergeCell ref="A875:F875"/>
    <mergeCell ref="C809:E809"/>
    <mergeCell ref="C810:E810"/>
    <mergeCell ref="A837:F837"/>
    <mergeCell ref="A405:F405"/>
    <mergeCell ref="A406:F406"/>
    <mergeCell ref="A666:F666"/>
    <mergeCell ref="A667:F667"/>
    <mergeCell ref="A668:F668"/>
    <mergeCell ref="A669:F669"/>
    <mergeCell ref="A675:F675"/>
    <mergeCell ref="C430:E430"/>
    <mergeCell ref="C431:E431"/>
    <mergeCell ref="A438:F438"/>
    <mergeCell ref="A439:F439"/>
    <mergeCell ref="A440:E440"/>
    <mergeCell ref="A476:E476"/>
    <mergeCell ref="A442:F442"/>
    <mergeCell ref="A443:F443"/>
    <mergeCell ref="C445:E445"/>
    <mergeCell ref="A794:F794"/>
    <mergeCell ref="A804:F804"/>
    <mergeCell ref="A805:F805"/>
    <mergeCell ref="A806:F806"/>
    <mergeCell ref="A819:F819"/>
    <mergeCell ref="A280:F280"/>
    <mergeCell ref="A345:E345"/>
    <mergeCell ref="A346:F346"/>
    <mergeCell ref="A331:F331"/>
    <mergeCell ref="A793:F793"/>
    <mergeCell ref="A795:E795"/>
    <mergeCell ref="A796:E796"/>
    <mergeCell ref="A797:F797"/>
    <mergeCell ref="A798:F798"/>
    <mergeCell ref="A295:F295"/>
    <mergeCell ref="A296:F296"/>
    <mergeCell ref="A297:F297"/>
    <mergeCell ref="A298:F298"/>
    <mergeCell ref="A403:F403"/>
    <mergeCell ref="A404:F404"/>
    <mergeCell ref="A327:F327"/>
    <mergeCell ref="A328:F328"/>
    <mergeCell ref="A311:F311"/>
    <mergeCell ref="A312:F312"/>
    <mergeCell ref="A313:E313"/>
    <mergeCell ref="A314:E314"/>
    <mergeCell ref="A315:F315"/>
    <mergeCell ref="A316:F316"/>
    <mergeCell ref="C318:E318"/>
    <mergeCell ref="C319:E319"/>
    <mergeCell ref="A282:E282"/>
    <mergeCell ref="A162:F162"/>
    <mergeCell ref="A264:F264"/>
    <mergeCell ref="A150:F150"/>
    <mergeCell ref="C152:E152"/>
    <mergeCell ref="C153:E153"/>
    <mergeCell ref="A205:E205"/>
    <mergeCell ref="A206:F206"/>
    <mergeCell ref="A207:F207"/>
    <mergeCell ref="C209:E209"/>
    <mergeCell ref="C225:E225"/>
    <mergeCell ref="C226:E226"/>
    <mergeCell ref="A233:F233"/>
    <mergeCell ref="A234:F234"/>
    <mergeCell ref="A173:F173"/>
    <mergeCell ref="A174:F174"/>
    <mergeCell ref="A175:F175"/>
    <mergeCell ref="A223:F223"/>
    <mergeCell ref="A163:E163"/>
    <mergeCell ref="A164:E164"/>
    <mergeCell ref="A165:F165"/>
    <mergeCell ref="A166:F166"/>
    <mergeCell ref="C178:E178"/>
    <mergeCell ref="C179:E179"/>
    <mergeCell ref="A1:G1"/>
    <mergeCell ref="A2:G2"/>
    <mergeCell ref="A3:G3"/>
    <mergeCell ref="B6:G6"/>
    <mergeCell ref="A8:G8"/>
    <mergeCell ref="B10:D10"/>
    <mergeCell ref="A28:F28"/>
    <mergeCell ref="A29:F29"/>
    <mergeCell ref="A30:E30"/>
    <mergeCell ref="A4:G4"/>
    <mergeCell ref="B9:D9"/>
    <mergeCell ref="A15:F15"/>
    <mergeCell ref="A16:F16"/>
    <mergeCell ref="A17:E17"/>
    <mergeCell ref="A18:E18"/>
    <mergeCell ref="A19:F19"/>
    <mergeCell ref="A20:F20"/>
    <mergeCell ref="A45:F45"/>
    <mergeCell ref="A46:F46"/>
    <mergeCell ref="A47:E47"/>
    <mergeCell ref="A48:E48"/>
    <mergeCell ref="A49:F49"/>
    <mergeCell ref="A50:F50"/>
    <mergeCell ref="C52:E52"/>
    <mergeCell ref="C22:E22"/>
    <mergeCell ref="C23:E23"/>
    <mergeCell ref="A31:E31"/>
    <mergeCell ref="A32:F32"/>
    <mergeCell ref="A33:F33"/>
    <mergeCell ref="C35:E35"/>
    <mergeCell ref="C36:E36"/>
    <mergeCell ref="C53:E53"/>
    <mergeCell ref="A86:F86"/>
    <mergeCell ref="A88:E88"/>
    <mergeCell ref="A90:F90"/>
    <mergeCell ref="C93:E93"/>
    <mergeCell ref="A74:F74"/>
    <mergeCell ref="A75:F75"/>
    <mergeCell ref="A76:E76"/>
    <mergeCell ref="A77:E77"/>
    <mergeCell ref="A78:F78"/>
    <mergeCell ref="A79:F79"/>
    <mergeCell ref="C81:E81"/>
    <mergeCell ref="C82:E82"/>
    <mergeCell ref="C107:E107"/>
    <mergeCell ref="C108:E108"/>
    <mergeCell ref="A422:F422"/>
    <mergeCell ref="A62:F62"/>
    <mergeCell ref="A63:F63"/>
    <mergeCell ref="A64:E64"/>
    <mergeCell ref="A65:E65"/>
    <mergeCell ref="A66:F66"/>
    <mergeCell ref="A67:F67"/>
    <mergeCell ref="C69:E69"/>
    <mergeCell ref="C70:E70"/>
    <mergeCell ref="A87:F87"/>
    <mergeCell ref="A89:E89"/>
    <mergeCell ref="A91:F91"/>
    <mergeCell ref="C94:E94"/>
    <mergeCell ref="C95:E95"/>
    <mergeCell ref="A100:F100"/>
    <mergeCell ref="A101:F101"/>
    <mergeCell ref="A102:E102"/>
    <mergeCell ref="A103:E103"/>
    <mergeCell ref="A104:F104"/>
    <mergeCell ref="A105:F105"/>
    <mergeCell ref="C139:E139"/>
    <mergeCell ref="A145:F145"/>
    <mergeCell ref="A188:F188"/>
    <mergeCell ref="A189:F189"/>
    <mergeCell ref="A192:F192"/>
    <mergeCell ref="A193:F193"/>
    <mergeCell ref="C195:E195"/>
    <mergeCell ref="C196:E196"/>
    <mergeCell ref="A202:F202"/>
    <mergeCell ref="A203:F203"/>
    <mergeCell ref="A204:E204"/>
    <mergeCell ref="A190:E190"/>
    <mergeCell ref="A191:E191"/>
    <mergeCell ref="A117:F117"/>
    <mergeCell ref="A118:F118"/>
    <mergeCell ref="A119:E119"/>
    <mergeCell ref="A120:E120"/>
    <mergeCell ref="A121:F121"/>
    <mergeCell ref="A122:F122"/>
    <mergeCell ref="C124:E124"/>
    <mergeCell ref="C125:E125"/>
    <mergeCell ref="A161:F161"/>
    <mergeCell ref="A146:F146"/>
    <mergeCell ref="A147:E147"/>
    <mergeCell ref="A148:E148"/>
    <mergeCell ref="A149:F149"/>
    <mergeCell ref="C138:E138"/>
    <mergeCell ref="A131:F131"/>
    <mergeCell ref="A132:F132"/>
    <mergeCell ref="A133:E133"/>
    <mergeCell ref="A134:E134"/>
    <mergeCell ref="A135:F135"/>
    <mergeCell ref="A136:F136"/>
    <mergeCell ref="A332:F332"/>
    <mergeCell ref="C334:E334"/>
    <mergeCell ref="C335:E335"/>
    <mergeCell ref="A342:F342"/>
    <mergeCell ref="A343:F343"/>
    <mergeCell ref="A344:E344"/>
    <mergeCell ref="A269:F269"/>
    <mergeCell ref="C271:E271"/>
    <mergeCell ref="C210:E210"/>
    <mergeCell ref="A218:F218"/>
    <mergeCell ref="A219:F219"/>
    <mergeCell ref="A220:E220"/>
    <mergeCell ref="A221:E221"/>
    <mergeCell ref="A222:F222"/>
    <mergeCell ref="A265:F265"/>
    <mergeCell ref="A266:E266"/>
    <mergeCell ref="A267:E267"/>
    <mergeCell ref="A268:F268"/>
    <mergeCell ref="C272:E272"/>
    <mergeCell ref="A283:E283"/>
    <mergeCell ref="A284:F284"/>
    <mergeCell ref="A285:F285"/>
    <mergeCell ref="C301:E301"/>
    <mergeCell ref="C302:E302"/>
    <mergeCell ref="A347:F347"/>
    <mergeCell ref="C349:E349"/>
    <mergeCell ref="C350:E350"/>
    <mergeCell ref="A357:F357"/>
    <mergeCell ref="A358:F358"/>
    <mergeCell ref="A359:E359"/>
    <mergeCell ref="A235:E235"/>
    <mergeCell ref="A236:E236"/>
    <mergeCell ref="A237:F237"/>
    <mergeCell ref="A238:F238"/>
    <mergeCell ref="C240:E240"/>
    <mergeCell ref="C241:E241"/>
    <mergeCell ref="A248:F248"/>
    <mergeCell ref="A249:F249"/>
    <mergeCell ref="A250:E250"/>
    <mergeCell ref="A251:E251"/>
    <mergeCell ref="A252:F252"/>
    <mergeCell ref="A253:F253"/>
    <mergeCell ref="C255:E255"/>
    <mergeCell ref="C256:E256"/>
    <mergeCell ref="A279:F279"/>
    <mergeCell ref="A281:F281"/>
    <mergeCell ref="A329:E329"/>
    <mergeCell ref="A330:E330"/>
    <mergeCell ref="A360:E360"/>
    <mergeCell ref="A361:F361"/>
    <mergeCell ref="A362:F362"/>
    <mergeCell ref="C364:E364"/>
    <mergeCell ref="C365:E365"/>
    <mergeCell ref="A373:F373"/>
    <mergeCell ref="A374:F374"/>
    <mergeCell ref="A375:E375"/>
    <mergeCell ref="A376:E376"/>
    <mergeCell ref="A377:F377"/>
    <mergeCell ref="A378:F378"/>
    <mergeCell ref="C380:E380"/>
    <mergeCell ref="C381:E381"/>
    <mergeCell ref="A387:F387"/>
    <mergeCell ref="A388:F388"/>
    <mergeCell ref="A389:F389"/>
    <mergeCell ref="A390:E390"/>
    <mergeCell ref="A441:E441"/>
    <mergeCell ref="A421:F421"/>
    <mergeCell ref="A423:F423"/>
    <mergeCell ref="A424:E424"/>
    <mergeCell ref="A425:E425"/>
    <mergeCell ref="A426:F426"/>
    <mergeCell ref="C446:E446"/>
    <mergeCell ref="A427:F427"/>
    <mergeCell ref="A495:F495"/>
    <mergeCell ref="C497:E497"/>
    <mergeCell ref="C498:E498"/>
    <mergeCell ref="A508:F508"/>
    <mergeCell ref="A509:F509"/>
    <mergeCell ref="A510:F510"/>
    <mergeCell ref="A511:E511"/>
    <mergeCell ref="A493:E493"/>
    <mergeCell ref="A494:F494"/>
    <mergeCell ref="A512:E512"/>
    <mergeCell ref="A391:E391"/>
    <mergeCell ref="A392:F392"/>
    <mergeCell ref="A393:F393"/>
    <mergeCell ref="C409:E409"/>
    <mergeCell ref="C410:E410"/>
    <mergeCell ref="A456:F456"/>
    <mergeCell ref="A457:F457"/>
    <mergeCell ref="A458:E458"/>
    <mergeCell ref="A459:E459"/>
    <mergeCell ref="A460:F460"/>
    <mergeCell ref="A461:F461"/>
    <mergeCell ref="C463:E463"/>
    <mergeCell ref="C464:E464"/>
    <mergeCell ref="A473:F473"/>
    <mergeCell ref="A474:F474"/>
    <mergeCell ref="A475:E475"/>
    <mergeCell ref="A477:F477"/>
    <mergeCell ref="A478:F478"/>
    <mergeCell ref="C480:E480"/>
    <mergeCell ref="C481:E481"/>
    <mergeCell ref="A490:F490"/>
    <mergeCell ref="A491:F491"/>
    <mergeCell ref="A492:E492"/>
    <mergeCell ref="A572:F572"/>
    <mergeCell ref="A513:F513"/>
    <mergeCell ref="A514:F514"/>
    <mergeCell ref="C515:E515"/>
    <mergeCell ref="C516:E516"/>
    <mergeCell ref="A523:F523"/>
    <mergeCell ref="A524:F524"/>
    <mergeCell ref="A525:E525"/>
    <mergeCell ref="A526:E526"/>
    <mergeCell ref="A527:F527"/>
    <mergeCell ref="A528:F528"/>
    <mergeCell ref="C530:E530"/>
    <mergeCell ref="C531:E531"/>
    <mergeCell ref="A538:F538"/>
    <mergeCell ref="A539:F539"/>
    <mergeCell ref="A540:E540"/>
    <mergeCell ref="A541:E541"/>
    <mergeCell ref="A542:F542"/>
    <mergeCell ref="C589:E589"/>
    <mergeCell ref="A596:F596"/>
    <mergeCell ref="A597:F597"/>
    <mergeCell ref="A598:E598"/>
    <mergeCell ref="A599:E599"/>
    <mergeCell ref="A600:F600"/>
    <mergeCell ref="A601:F601"/>
    <mergeCell ref="C603:E603"/>
    <mergeCell ref="A543:F543"/>
    <mergeCell ref="C545:E545"/>
    <mergeCell ref="C546:E546"/>
    <mergeCell ref="A552:F552"/>
    <mergeCell ref="A553:F553"/>
    <mergeCell ref="A554:E554"/>
    <mergeCell ref="A555:E555"/>
    <mergeCell ref="A556:F556"/>
    <mergeCell ref="A557:F557"/>
    <mergeCell ref="C559:E559"/>
    <mergeCell ref="C560:E560"/>
    <mergeCell ref="A567:F567"/>
    <mergeCell ref="A568:F568"/>
    <mergeCell ref="A569:E569"/>
    <mergeCell ref="A570:E570"/>
    <mergeCell ref="A571:F571"/>
    <mergeCell ref="C574:E574"/>
    <mergeCell ref="C575:E575"/>
    <mergeCell ref="A581:F581"/>
    <mergeCell ref="A582:F582"/>
    <mergeCell ref="A583:E583"/>
    <mergeCell ref="A584:E584"/>
    <mergeCell ref="A585:F585"/>
    <mergeCell ref="A586:F586"/>
    <mergeCell ref="C588:E588"/>
    <mergeCell ref="A709:F709"/>
    <mergeCell ref="C604:E604"/>
    <mergeCell ref="A613:F613"/>
    <mergeCell ref="A614:F614"/>
    <mergeCell ref="A615:E615"/>
    <mergeCell ref="A616:E616"/>
    <mergeCell ref="A617:F617"/>
    <mergeCell ref="A618:F618"/>
    <mergeCell ref="C620:E620"/>
    <mergeCell ref="C621:E621"/>
    <mergeCell ref="A630:F630"/>
    <mergeCell ref="A631:F631"/>
    <mergeCell ref="A632:E632"/>
    <mergeCell ref="A633:E633"/>
    <mergeCell ref="A634:F634"/>
    <mergeCell ref="A635:F635"/>
    <mergeCell ref="C637:E637"/>
    <mergeCell ref="C638:E638"/>
    <mergeCell ref="A676:F676"/>
    <mergeCell ref="A677:F677"/>
    <mergeCell ref="A724:E724"/>
    <mergeCell ref="A725:E725"/>
    <mergeCell ref="A726:F726"/>
    <mergeCell ref="A727:F727"/>
    <mergeCell ref="C729:E729"/>
    <mergeCell ref="C730:E730"/>
    <mergeCell ref="A739:F739"/>
    <mergeCell ref="A740:F740"/>
    <mergeCell ref="A651:F651"/>
    <mergeCell ref="A652:F652"/>
    <mergeCell ref="A653:E653"/>
    <mergeCell ref="A654:E654"/>
    <mergeCell ref="A655:F655"/>
    <mergeCell ref="A656:F656"/>
    <mergeCell ref="C680:E680"/>
    <mergeCell ref="C681:E681"/>
    <mergeCell ref="A691:F691"/>
    <mergeCell ref="A692:F692"/>
    <mergeCell ref="A693:E693"/>
    <mergeCell ref="A694:E694"/>
    <mergeCell ref="A695:F695"/>
    <mergeCell ref="A696:F696"/>
    <mergeCell ref="C699:E699"/>
    <mergeCell ref="C700:E700"/>
    <mergeCell ref="A710:F710"/>
    <mergeCell ref="A711:E711"/>
    <mergeCell ref="A712:E712"/>
    <mergeCell ref="A713:F713"/>
    <mergeCell ref="A714:F714"/>
    <mergeCell ref="C716:E716"/>
    <mergeCell ref="C717:E717"/>
    <mergeCell ref="A722:F722"/>
    <mergeCell ref="A723:F723"/>
    <mergeCell ref="A741:E741"/>
    <mergeCell ref="A742:E742"/>
    <mergeCell ref="A743:F743"/>
    <mergeCell ref="A744:F744"/>
    <mergeCell ref="C746:E746"/>
    <mergeCell ref="C747:E747"/>
    <mergeCell ref="A754:F754"/>
    <mergeCell ref="A757:F757"/>
    <mergeCell ref="A758:E758"/>
    <mergeCell ref="A755:F755"/>
    <mergeCell ref="A777:F777"/>
    <mergeCell ref="A778:E778"/>
    <mergeCell ref="A779:E779"/>
    <mergeCell ref="A780:F780"/>
    <mergeCell ref="A781:F781"/>
    <mergeCell ref="C783:E783"/>
    <mergeCell ref="C784:E784"/>
    <mergeCell ref="A756:F756"/>
    <mergeCell ref="A776:F776"/>
    <mergeCell ref="A759:E759"/>
    <mergeCell ref="A760:F760"/>
    <mergeCell ref="A761:F761"/>
    <mergeCell ref="C764:E764"/>
    <mergeCell ref="C765:E765"/>
    <mergeCell ref="A774:F774"/>
    <mergeCell ref="A775:F775"/>
  </mergeCells>
  <printOptions horizontalCentered="1"/>
  <pageMargins left="0.39370078740157483" right="0.39370078740157483" top="0.39370078740157483" bottom="0.31496062992125984" header="0.31496062992125984" footer="0.31496062992125984"/>
  <pageSetup paperSize="9" scale="74" fitToHeight="0" orientation="portrait" r:id="rId1"/>
  <rowBreaks count="20" manualBreakCount="20">
    <brk id="53" max="6" man="1"/>
    <brk id="95" max="6" man="1"/>
    <brk id="140" max="6" man="1"/>
    <brk id="180" max="6" man="1"/>
    <brk id="227" max="6" man="1"/>
    <brk id="273" max="6" man="1"/>
    <brk id="320" max="6" man="1"/>
    <brk id="365" max="6" man="1"/>
    <brk id="411" max="6" man="1"/>
    <brk id="447" max="6" man="1"/>
    <brk id="498" max="6" man="1"/>
    <brk id="547" max="6" man="1"/>
    <brk id="590" max="6" man="1"/>
    <brk id="639" max="6" man="1"/>
    <brk id="682" max="6" man="1"/>
    <brk id="731" max="6" man="1"/>
    <brk id="766" max="6" man="1"/>
    <brk id="799" max="6" man="1"/>
    <brk id="846" max="6" man="1"/>
    <brk id="86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view="pageBreakPreview" topLeftCell="A22" zoomScale="115" zoomScaleNormal="100" zoomScaleSheetLayoutView="115" workbookViewId="0">
      <selection activeCell="B24" sqref="B24:B25"/>
    </sheetView>
  </sheetViews>
  <sheetFormatPr defaultRowHeight="15" x14ac:dyDescent="0.25"/>
  <cols>
    <col min="2" max="2" width="53.28515625" customWidth="1"/>
    <col min="3" max="3" width="12.140625" customWidth="1"/>
    <col min="4" max="4" width="13.85546875" customWidth="1"/>
    <col min="5" max="5" width="9" bestFit="1" customWidth="1"/>
    <col min="6" max="16" width="9.7109375" customWidth="1"/>
    <col min="18" max="18" width="11.140625" bestFit="1" customWidth="1"/>
  </cols>
  <sheetData>
    <row r="1" spans="1:18" ht="26.25" x14ac:dyDescent="0.25">
      <c r="A1" s="321" t="s">
        <v>22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1:18" x14ac:dyDescent="0.25">
      <c r="A2" s="322" t="s">
        <v>85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</row>
    <row r="3" spans="1:18" x14ac:dyDescent="0.25">
      <c r="A3" s="323" t="s">
        <v>86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</row>
    <row r="4" spans="1:18" x14ac:dyDescent="0.25">
      <c r="A4" s="324" t="s">
        <v>87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</row>
    <row r="5" spans="1:18" x14ac:dyDescent="0.25">
      <c r="A5" s="162" t="s">
        <v>62</v>
      </c>
      <c r="B5" s="243" t="str">
        <f>ORÇ!B6</f>
        <v>CONSTRUÇÃO DO MURO DE COTENÇÃO EM ALVENARIA ESTRUTURAL DO ESTACIONAMENTO DO PRÉDIO DA REITORIA DO IFAM</v>
      </c>
      <c r="C5" s="243"/>
      <c r="D5" s="243"/>
      <c r="E5" s="243"/>
      <c r="F5" s="243"/>
      <c r="G5" s="243"/>
      <c r="H5" s="243"/>
    </row>
    <row r="6" spans="1:18" ht="18" customHeight="1" x14ac:dyDescent="0.25">
      <c r="A6" s="244" t="s">
        <v>107</v>
      </c>
      <c r="B6" s="245"/>
      <c r="C6" s="245"/>
      <c r="D6" s="245"/>
      <c r="E6" s="245"/>
      <c r="F6" s="245"/>
      <c r="G6" s="245"/>
      <c r="H6" s="245"/>
    </row>
    <row r="7" spans="1:18" x14ac:dyDescent="0.25">
      <c r="A7" s="325" t="s">
        <v>1</v>
      </c>
      <c r="B7" s="326" t="s">
        <v>88</v>
      </c>
      <c r="C7" s="327"/>
      <c r="D7" s="329" t="s">
        <v>89</v>
      </c>
      <c r="E7" s="331" t="s">
        <v>108</v>
      </c>
      <c r="F7" s="332"/>
      <c r="G7" s="332"/>
      <c r="H7" s="332"/>
    </row>
    <row r="8" spans="1:18" x14ac:dyDescent="0.25">
      <c r="A8" s="325"/>
      <c r="B8" s="326"/>
      <c r="C8" s="328"/>
      <c r="D8" s="330"/>
      <c r="E8" s="333" t="s">
        <v>322</v>
      </c>
      <c r="F8" s="333"/>
      <c r="G8" s="319" t="s">
        <v>323</v>
      </c>
      <c r="H8" s="320"/>
      <c r="I8" s="319" t="s">
        <v>105</v>
      </c>
      <c r="J8" s="320"/>
      <c r="K8" s="319" t="s">
        <v>324</v>
      </c>
      <c r="L8" s="320"/>
      <c r="M8" s="319" t="s">
        <v>325</v>
      </c>
      <c r="N8" s="320"/>
      <c r="O8" s="319" t="s">
        <v>106</v>
      </c>
      <c r="P8" s="320"/>
    </row>
    <row r="9" spans="1:18" x14ac:dyDescent="0.25">
      <c r="A9" s="325"/>
      <c r="B9" s="326"/>
      <c r="C9" s="139" t="s">
        <v>49</v>
      </c>
      <c r="D9" s="139" t="s">
        <v>90</v>
      </c>
      <c r="E9" s="161" t="s">
        <v>91</v>
      </c>
      <c r="F9" s="161" t="s">
        <v>92</v>
      </c>
      <c r="G9" s="161" t="s">
        <v>91</v>
      </c>
      <c r="H9" s="161" t="s">
        <v>92</v>
      </c>
      <c r="I9" s="161" t="s">
        <v>91</v>
      </c>
      <c r="J9" s="161" t="s">
        <v>92</v>
      </c>
      <c r="K9" s="161" t="s">
        <v>91</v>
      </c>
      <c r="L9" s="161" t="s">
        <v>92</v>
      </c>
      <c r="M9" s="161" t="s">
        <v>91</v>
      </c>
      <c r="N9" s="161" t="s">
        <v>92</v>
      </c>
      <c r="O9" s="161" t="s">
        <v>91</v>
      </c>
      <c r="P9" s="161" t="s">
        <v>92</v>
      </c>
    </row>
    <row r="10" spans="1:18" x14ac:dyDescent="0.25">
      <c r="A10" s="334" t="s">
        <v>109</v>
      </c>
      <c r="B10" s="336" t="str">
        <f>ORÇ!B12</f>
        <v>ADMINISTRAÇÃO DA OBRA</v>
      </c>
      <c r="C10" s="148">
        <f>ORÇ!G12</f>
        <v>22087.99</v>
      </c>
      <c r="D10" s="159">
        <f>C10/C34</f>
        <v>0.22538079987504547</v>
      </c>
      <c r="E10" s="147">
        <f>F10/C10</f>
        <v>0.16649999999999998</v>
      </c>
      <c r="F10" s="148">
        <f>C10*16.65%</f>
        <v>3677.6503349999998</v>
      </c>
      <c r="G10" s="147">
        <f>H10/C10</f>
        <v>0.16670000000000001</v>
      </c>
      <c r="H10" s="148">
        <f>C10*16.67%</f>
        <v>3682.0679330000007</v>
      </c>
      <c r="I10" s="147">
        <f>J10/C10</f>
        <v>0.16670000000000001</v>
      </c>
      <c r="J10" s="148">
        <f>C10*16.67%</f>
        <v>3682.0679330000007</v>
      </c>
      <c r="K10" s="147">
        <f>L10/C10</f>
        <v>0.16670000000000001</v>
      </c>
      <c r="L10" s="148">
        <f>C10*16.67%</f>
        <v>3682.0679330000007</v>
      </c>
      <c r="M10" s="147">
        <f>N10/C10</f>
        <v>0.16670000000000001</v>
      </c>
      <c r="N10" s="148">
        <f>C10*16.67%</f>
        <v>3682.0679330000007</v>
      </c>
      <c r="O10" s="147">
        <f>(P10/C10)</f>
        <v>0.16670000000000001</v>
      </c>
      <c r="P10" s="148">
        <f>C10*16.67%</f>
        <v>3682.0679330000007</v>
      </c>
      <c r="Q10" s="183">
        <f>SUM(E10,G10,I10,K10,M10,O10)</f>
        <v>1.0000000000000002</v>
      </c>
      <c r="R10" s="246">
        <f>SUM(F10,H10,J10,L10,N10,P10)</f>
        <v>22087.990000000005</v>
      </c>
    </row>
    <row r="11" spans="1:18" ht="6.95" customHeight="1" x14ac:dyDescent="0.25">
      <c r="A11" s="335"/>
      <c r="B11" s="337"/>
      <c r="C11" s="142"/>
      <c r="D11" s="155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</row>
    <row r="12" spans="1:18" x14ac:dyDescent="0.25">
      <c r="A12" s="335" t="s">
        <v>93</v>
      </c>
      <c r="B12" s="337" t="str">
        <f>ORÇ!B18</f>
        <v>DEMOLIÇÕES E REMOÇÕES</v>
      </c>
      <c r="C12" s="140">
        <f>ORÇ!G18</f>
        <v>458.49440000000004</v>
      </c>
      <c r="D12" s="154">
        <f>C12/C34</f>
        <v>4.6783720297876377E-3</v>
      </c>
      <c r="E12" s="141">
        <f>F12/C12</f>
        <v>1</v>
      </c>
      <c r="F12" s="140">
        <f>C12*100%</f>
        <v>458.49440000000004</v>
      </c>
      <c r="G12" s="141"/>
      <c r="H12" s="140"/>
      <c r="I12" s="141"/>
      <c r="J12" s="140"/>
      <c r="K12" s="141"/>
      <c r="L12" s="140"/>
      <c r="M12" s="141"/>
      <c r="N12" s="140"/>
      <c r="O12" s="141"/>
      <c r="P12" s="140"/>
    </row>
    <row r="13" spans="1:18" ht="6.95" customHeight="1" x14ac:dyDescent="0.25">
      <c r="A13" s="335"/>
      <c r="B13" s="337"/>
      <c r="C13" s="142"/>
      <c r="D13" s="155"/>
      <c r="E13" s="143"/>
      <c r="F13" s="144"/>
      <c r="G13" s="147"/>
      <c r="H13" s="148"/>
      <c r="I13" s="147"/>
      <c r="J13" s="148"/>
      <c r="K13" s="147"/>
      <c r="L13" s="148"/>
      <c r="M13" s="147"/>
      <c r="N13" s="148"/>
      <c r="O13" s="147"/>
      <c r="P13" s="148"/>
    </row>
    <row r="14" spans="1:18" x14ac:dyDescent="0.25">
      <c r="A14" s="335" t="s">
        <v>94</v>
      </c>
      <c r="B14" s="337" t="str">
        <f>ORÇ!B22</f>
        <v>MOVIMENTO DE TERRA</v>
      </c>
      <c r="C14" s="140">
        <f>ORÇ!G22</f>
        <v>10584.1188</v>
      </c>
      <c r="D14" s="154">
        <f>C14/C34</f>
        <v>0.10799792833646277</v>
      </c>
      <c r="E14" s="141">
        <f>F14/C14</f>
        <v>0.5</v>
      </c>
      <c r="F14" s="140">
        <f>C14*50%</f>
        <v>5292.0594000000001</v>
      </c>
      <c r="G14" s="141">
        <f>H14/C14</f>
        <v>0.5</v>
      </c>
      <c r="H14" s="140">
        <f>C14*50%</f>
        <v>5292.0594000000001</v>
      </c>
      <c r="I14" s="141"/>
      <c r="J14" s="140"/>
      <c r="K14" s="141"/>
      <c r="L14" s="140"/>
      <c r="M14" s="141"/>
      <c r="N14" s="140"/>
      <c r="O14" s="141"/>
      <c r="P14" s="140"/>
    </row>
    <row r="15" spans="1:18" ht="6.95" customHeight="1" x14ac:dyDescent="0.25">
      <c r="A15" s="335"/>
      <c r="B15" s="337"/>
      <c r="C15" s="146"/>
      <c r="D15" s="156"/>
      <c r="E15" s="143"/>
      <c r="F15" s="144"/>
      <c r="G15" s="143"/>
      <c r="H15" s="144"/>
      <c r="I15" s="145"/>
      <c r="J15" s="146"/>
      <c r="K15" s="145"/>
      <c r="L15" s="146"/>
      <c r="M15" s="145"/>
      <c r="N15" s="146"/>
      <c r="O15" s="145"/>
      <c r="P15" s="146"/>
    </row>
    <row r="16" spans="1:18" x14ac:dyDescent="0.25">
      <c r="A16" s="335" t="s">
        <v>95</v>
      </c>
      <c r="B16" s="337" t="str">
        <f>ORÇ!B28</f>
        <v>ALVENARIA ESTRUTURAL (MURO)</v>
      </c>
      <c r="C16" s="140">
        <f>ORÇ!G28</f>
        <v>12014.2444</v>
      </c>
      <c r="D16" s="154">
        <f>C16/C34</f>
        <v>0.12259060298226708</v>
      </c>
      <c r="E16" s="141"/>
      <c r="F16" s="140"/>
      <c r="G16" s="141">
        <f>H16/C16</f>
        <v>0.25</v>
      </c>
      <c r="H16" s="140">
        <f>C16*25%</f>
        <v>3003.5610999999999</v>
      </c>
      <c r="I16" s="141">
        <f>J16/C16</f>
        <v>0.35</v>
      </c>
      <c r="J16" s="140">
        <f>C16*35%</f>
        <v>4204.9855399999997</v>
      </c>
      <c r="K16" s="141">
        <f>L16/C16</f>
        <v>0.4</v>
      </c>
      <c r="L16" s="140">
        <f>C16*40%</f>
        <v>4805.69776</v>
      </c>
      <c r="M16" s="141"/>
      <c r="N16" s="140"/>
      <c r="O16" s="141"/>
      <c r="P16" s="140"/>
    </row>
    <row r="17" spans="1:17" ht="6.95" customHeight="1" x14ac:dyDescent="0.25">
      <c r="A17" s="335"/>
      <c r="B17" s="337"/>
      <c r="C17" s="146"/>
      <c r="D17" s="156"/>
      <c r="E17" s="145"/>
      <c r="F17" s="146"/>
      <c r="G17" s="143"/>
      <c r="H17" s="144"/>
      <c r="I17" s="143"/>
      <c r="J17" s="144"/>
      <c r="K17" s="143"/>
      <c r="L17" s="144"/>
      <c r="M17" s="145"/>
      <c r="N17" s="146"/>
      <c r="O17" s="145"/>
      <c r="P17" s="146"/>
    </row>
    <row r="18" spans="1:17" x14ac:dyDescent="0.25">
      <c r="A18" s="335" t="s">
        <v>96</v>
      </c>
      <c r="B18" s="337" t="str">
        <f>ORÇ!B37</f>
        <v>FUNDAÇÃO</v>
      </c>
      <c r="C18" s="140">
        <f>ORÇ!G37</f>
        <v>26834.586199999994</v>
      </c>
      <c r="D18" s="154">
        <f>C18/C34</f>
        <v>0.27381398226239034</v>
      </c>
      <c r="E18" s="141"/>
      <c r="F18" s="140"/>
      <c r="G18" s="141">
        <f>H18/C18</f>
        <v>0.35</v>
      </c>
      <c r="H18" s="140">
        <f>C18*35%</f>
        <v>9392.1051699999971</v>
      </c>
      <c r="I18" s="141">
        <f>J18/C18</f>
        <v>0.64999999999999991</v>
      </c>
      <c r="J18" s="140">
        <f>C18*65%</f>
        <v>17442.481029999995</v>
      </c>
      <c r="K18" s="141"/>
      <c r="L18" s="140"/>
      <c r="M18" s="141"/>
      <c r="N18" s="140"/>
      <c r="O18" s="141"/>
      <c r="P18" s="140"/>
    </row>
    <row r="19" spans="1:17" ht="6.95" customHeight="1" x14ac:dyDescent="0.25">
      <c r="A19" s="335"/>
      <c r="B19" s="337"/>
      <c r="C19" s="146"/>
      <c r="D19" s="156"/>
      <c r="E19" s="145"/>
      <c r="F19" s="146"/>
      <c r="G19" s="143"/>
      <c r="H19" s="144"/>
      <c r="I19" s="143"/>
      <c r="J19" s="144"/>
      <c r="K19" s="145"/>
      <c r="L19" s="146"/>
      <c r="M19" s="145"/>
      <c r="N19" s="146"/>
      <c r="O19" s="145"/>
      <c r="P19" s="146"/>
    </row>
    <row r="20" spans="1:17" x14ac:dyDescent="0.25">
      <c r="A20" s="338" t="s">
        <v>97</v>
      </c>
      <c r="B20" s="340" t="str">
        <f>ORÇ!B48</f>
        <v>VIGA SUPERIOR</v>
      </c>
      <c r="C20" s="140">
        <f>ORÇ!G48</f>
        <v>3499.4475999999995</v>
      </c>
      <c r="D20" s="154">
        <f>C20/C34</f>
        <v>3.5707563214616087E-2</v>
      </c>
      <c r="E20" s="141"/>
      <c r="F20" s="140"/>
      <c r="G20" s="141"/>
      <c r="H20" s="140"/>
      <c r="I20" s="141"/>
      <c r="J20" s="140"/>
      <c r="K20" s="141">
        <f>L20/C20</f>
        <v>1</v>
      </c>
      <c r="L20" s="140">
        <f>C20*100%</f>
        <v>3499.4475999999995</v>
      </c>
      <c r="M20" s="141"/>
      <c r="N20" s="140"/>
      <c r="O20" s="141"/>
      <c r="P20" s="140"/>
    </row>
    <row r="21" spans="1:17" ht="6.95" customHeight="1" x14ac:dyDescent="0.25">
      <c r="A21" s="339"/>
      <c r="B21" s="341"/>
      <c r="C21" s="149"/>
      <c r="D21" s="157"/>
      <c r="E21" s="145"/>
      <c r="F21" s="146"/>
      <c r="G21" s="145"/>
      <c r="H21" s="146"/>
      <c r="I21" s="145"/>
      <c r="J21" s="146"/>
      <c r="K21" s="143"/>
      <c r="L21" s="144"/>
      <c r="M21" s="145"/>
      <c r="N21" s="146"/>
      <c r="O21" s="145"/>
      <c r="P21" s="146"/>
    </row>
    <row r="22" spans="1:17" x14ac:dyDescent="0.25">
      <c r="A22" s="342" t="s">
        <v>98</v>
      </c>
      <c r="B22" s="343" t="str">
        <f>ORÇ!B55</f>
        <v>INSTAÇÕES E DRENAGEM</v>
      </c>
      <c r="C22" s="150">
        <f>ORÇ!G55</f>
        <v>9950.1651999999976</v>
      </c>
      <c r="D22" s="158">
        <f>C22/C34</f>
        <v>0.10152921074596834</v>
      </c>
      <c r="E22" s="151"/>
      <c r="F22" s="150"/>
      <c r="G22" s="141"/>
      <c r="H22" s="140"/>
      <c r="I22" s="141"/>
      <c r="J22" s="140"/>
      <c r="K22" s="141">
        <f>L22/C22</f>
        <v>0.3</v>
      </c>
      <c r="L22" s="140">
        <f>C22*30%</f>
        <v>2985.049559999999</v>
      </c>
      <c r="M22" s="141">
        <f>N22/C22</f>
        <v>0.7</v>
      </c>
      <c r="N22" s="140">
        <f>C22*70%</f>
        <v>6965.1156399999982</v>
      </c>
      <c r="O22" s="141"/>
      <c r="P22" s="140"/>
    </row>
    <row r="23" spans="1:17" ht="6.95" customHeight="1" x14ac:dyDescent="0.25">
      <c r="A23" s="339"/>
      <c r="B23" s="341"/>
      <c r="C23" s="149"/>
      <c r="D23" s="157"/>
      <c r="E23" s="145"/>
      <c r="F23" s="146"/>
      <c r="G23" s="145"/>
      <c r="H23" s="146"/>
      <c r="I23" s="145"/>
      <c r="J23" s="146"/>
      <c r="K23" s="143"/>
      <c r="L23" s="144"/>
      <c r="M23" s="143"/>
      <c r="N23" s="144"/>
      <c r="O23" s="145"/>
      <c r="P23" s="146"/>
    </row>
    <row r="24" spans="1:17" x14ac:dyDescent="0.25">
      <c r="A24" s="342" t="s">
        <v>99</v>
      </c>
      <c r="B24" s="343" t="str">
        <f>ORÇ!B69</f>
        <v>ELEMENTOS DE APOIO</v>
      </c>
      <c r="C24" s="150">
        <f>ORÇ!G69</f>
        <v>4388</v>
      </c>
      <c r="D24" s="158">
        <f>C24/C34</f>
        <v>4.4774148750144287E-2</v>
      </c>
      <c r="E24" s="151">
        <f>F24/C24</f>
        <v>0.2145</v>
      </c>
      <c r="F24" s="150">
        <f>C24*21.45%</f>
        <v>941.226</v>
      </c>
      <c r="G24" s="151">
        <f>H24/C24</f>
        <v>0.14279999999999998</v>
      </c>
      <c r="H24" s="150">
        <f>C24*14.28%</f>
        <v>626.60639999999989</v>
      </c>
      <c r="I24" s="151">
        <f>J24/C24</f>
        <v>0.14279999999999998</v>
      </c>
      <c r="J24" s="150">
        <f>C24*14.28%</f>
        <v>626.60639999999989</v>
      </c>
      <c r="K24" s="151">
        <f>L24/C24</f>
        <v>0.14279999999999998</v>
      </c>
      <c r="L24" s="150">
        <f>C24*14.28%</f>
        <v>626.60639999999989</v>
      </c>
      <c r="M24" s="151">
        <f>N24/C24</f>
        <v>0.1426</v>
      </c>
      <c r="N24" s="150">
        <f>C24*14.26%</f>
        <v>625.72879999999998</v>
      </c>
      <c r="O24" s="151">
        <f>P24/C24</f>
        <v>0.2145</v>
      </c>
      <c r="P24" s="150">
        <f>C24*21.45%</f>
        <v>941.226</v>
      </c>
      <c r="Q24" s="183">
        <f>SUM(E24,G24,I24,K24,M24,O24)</f>
        <v>1</v>
      </c>
    </row>
    <row r="25" spans="1:17" ht="6.95" customHeight="1" x14ac:dyDescent="0.25">
      <c r="A25" s="339"/>
      <c r="B25" s="341"/>
      <c r="C25" s="149"/>
      <c r="D25" s="157"/>
      <c r="E25" s="143"/>
      <c r="F25" s="144"/>
      <c r="G25" s="143"/>
      <c r="H25" s="144"/>
      <c r="I25" s="143"/>
      <c r="J25" s="144"/>
      <c r="K25" s="143"/>
      <c r="L25" s="144"/>
      <c r="M25" s="143"/>
      <c r="N25" s="144"/>
      <c r="O25" s="143"/>
      <c r="P25" s="144"/>
    </row>
    <row r="26" spans="1:17" x14ac:dyDescent="0.25">
      <c r="A26" s="344" t="s">
        <v>100</v>
      </c>
      <c r="B26" s="343" t="str">
        <f>ORÇ!B73</f>
        <v>ELEMENTOS DE SERRALHERIA</v>
      </c>
      <c r="C26" s="150">
        <f>ORÇ!G73</f>
        <v>7124.9567999999999</v>
      </c>
      <c r="D26" s="158">
        <f>C26/C34</f>
        <v>7.2701430173553336E-2</v>
      </c>
      <c r="E26" s="151"/>
      <c r="F26" s="150"/>
      <c r="G26" s="151"/>
      <c r="H26" s="150"/>
      <c r="I26" s="151"/>
      <c r="J26" s="150"/>
      <c r="K26" s="151"/>
      <c r="L26" s="150"/>
      <c r="M26" s="151"/>
      <c r="N26" s="150"/>
      <c r="O26" s="151">
        <f>P26/C26</f>
        <v>1</v>
      </c>
      <c r="P26" s="150">
        <f>C26*100%</f>
        <v>7124.9567999999999</v>
      </c>
    </row>
    <row r="27" spans="1:17" ht="6.95" customHeight="1" x14ac:dyDescent="0.25">
      <c r="A27" s="345"/>
      <c r="B27" s="341"/>
      <c r="C27" s="149"/>
      <c r="D27" s="157"/>
      <c r="E27" s="145"/>
      <c r="F27" s="146"/>
      <c r="G27" s="145"/>
      <c r="H27" s="146"/>
      <c r="I27" s="145"/>
      <c r="J27" s="146"/>
      <c r="K27" s="145"/>
      <c r="L27" s="146"/>
      <c r="M27" s="145"/>
      <c r="N27" s="146"/>
      <c r="O27" s="143"/>
      <c r="P27" s="144"/>
    </row>
    <row r="28" spans="1:17" x14ac:dyDescent="0.25">
      <c r="A28" s="344" t="s">
        <v>104</v>
      </c>
      <c r="B28" s="343" t="str">
        <f>ORÇ!B76</f>
        <v>REPOSICIONAMENTO DE ETE</v>
      </c>
      <c r="C28" s="150">
        <f>ORÇ!G76</f>
        <v>1060.9765</v>
      </c>
      <c r="D28" s="158">
        <f>C28/C34</f>
        <v>1.0825961629764689E-2</v>
      </c>
      <c r="E28" s="151"/>
      <c r="F28" s="150"/>
      <c r="G28" s="151"/>
      <c r="H28" s="150"/>
      <c r="I28" s="151"/>
      <c r="J28" s="150"/>
      <c r="K28" s="151"/>
      <c r="L28" s="150"/>
      <c r="M28" s="151"/>
      <c r="N28" s="150"/>
      <c r="O28" s="151">
        <f>P28/C28</f>
        <v>1</v>
      </c>
      <c r="P28" s="150">
        <f>C28*100%</f>
        <v>1060.9765</v>
      </c>
    </row>
    <row r="29" spans="1:17" ht="6.95" customHeight="1" x14ac:dyDescent="0.25">
      <c r="A29" s="346"/>
      <c r="B29" s="341"/>
      <c r="C29" s="149"/>
      <c r="D29" s="157"/>
      <c r="E29" s="145"/>
      <c r="F29" s="146"/>
      <c r="G29" s="145"/>
      <c r="H29" s="146"/>
      <c r="I29" s="145"/>
      <c r="J29" s="146"/>
      <c r="K29" s="145"/>
      <c r="L29" s="146"/>
      <c r="M29" s="145"/>
      <c r="N29" s="146"/>
      <c r="O29" s="143"/>
      <c r="P29" s="144"/>
    </row>
    <row r="30" spans="1:17" x14ac:dyDescent="0.25">
      <c r="A30" s="344"/>
      <c r="B30" s="343"/>
      <c r="C30" s="150"/>
      <c r="D30" s="158"/>
      <c r="E30" s="151"/>
      <c r="F30" s="150"/>
      <c r="G30" s="141"/>
      <c r="H30" s="140"/>
      <c r="I30" s="141"/>
      <c r="J30" s="140"/>
      <c r="K30" s="141"/>
      <c r="L30" s="140"/>
      <c r="M30" s="141"/>
      <c r="N30" s="140"/>
      <c r="O30" s="141"/>
      <c r="P30" s="140"/>
    </row>
    <row r="31" spans="1:17" ht="6.95" customHeight="1" x14ac:dyDescent="0.25">
      <c r="A31" s="345"/>
      <c r="B31" s="341"/>
      <c r="C31" s="149"/>
      <c r="D31" s="157"/>
      <c r="E31" s="145"/>
      <c r="F31" s="146"/>
      <c r="G31" s="145"/>
      <c r="H31" s="146"/>
      <c r="I31" s="145"/>
      <c r="J31" s="146"/>
      <c r="K31" s="145"/>
      <c r="L31" s="146"/>
      <c r="M31" s="145"/>
      <c r="N31" s="146"/>
      <c r="O31" s="145"/>
      <c r="P31" s="146"/>
    </row>
    <row r="32" spans="1:17" x14ac:dyDescent="0.25">
      <c r="A32" s="344" t="s">
        <v>110</v>
      </c>
      <c r="B32" s="347"/>
      <c r="C32" s="148"/>
      <c r="D32" s="159"/>
      <c r="E32" s="141"/>
      <c r="F32" s="140"/>
      <c r="G32" s="141"/>
      <c r="H32" s="140"/>
      <c r="I32" s="141"/>
      <c r="J32" s="140"/>
      <c r="K32" s="141"/>
      <c r="L32" s="140"/>
      <c r="M32" s="141"/>
      <c r="N32" s="140"/>
      <c r="O32" s="141"/>
      <c r="P32" s="140"/>
    </row>
    <row r="33" spans="1:16" ht="6.95" customHeight="1" x14ac:dyDescent="0.25">
      <c r="A33" s="345"/>
      <c r="B33" s="341"/>
      <c r="C33" s="152"/>
      <c r="D33" s="160"/>
      <c r="E33" s="145"/>
      <c r="F33" s="146"/>
      <c r="G33" s="145"/>
      <c r="H33" s="146"/>
      <c r="I33" s="145"/>
      <c r="J33" s="146"/>
      <c r="K33" s="145"/>
      <c r="L33" s="146"/>
      <c r="M33" s="145"/>
      <c r="N33" s="146"/>
      <c r="O33" s="145"/>
      <c r="P33" s="146"/>
    </row>
    <row r="34" spans="1:16" x14ac:dyDescent="0.25">
      <c r="A34" s="359" t="s">
        <v>101</v>
      </c>
      <c r="B34" s="360"/>
      <c r="C34" s="362">
        <f>SUM(C10:C32)</f>
        <v>98002.979899999991</v>
      </c>
      <c r="D34" s="363">
        <f>SUM(D10:D33)</f>
        <v>1.0000000000000002</v>
      </c>
      <c r="E34" s="349">
        <f>F34/C34</f>
        <v>0.10580729428412004</v>
      </c>
      <c r="F34" s="313">
        <f>SUM(F10:F33)</f>
        <v>10369.430135000001</v>
      </c>
      <c r="G34" s="310">
        <f>H34/C34</f>
        <v>0.22444623648632547</v>
      </c>
      <c r="H34" s="313">
        <f>SUM(H10:H33)</f>
        <v>21996.400002999999</v>
      </c>
      <c r="I34" s="310">
        <f>J34/C34</f>
        <v>0.26485052729503789</v>
      </c>
      <c r="J34" s="313">
        <f>SUM(J10:J33)</f>
        <v>25956.140902999996</v>
      </c>
      <c r="K34" s="310">
        <f>L34/C34</f>
        <v>0.15916729541200411</v>
      </c>
      <c r="L34" s="313">
        <f>SUM(L10:L33)</f>
        <v>15598.869253000001</v>
      </c>
      <c r="M34" s="310">
        <f>(N34/C34)-0.01</f>
        <v>0.10502622047311849</v>
      </c>
      <c r="N34" s="313">
        <f>SUM(N10:N33)</f>
        <v>11272.912372999999</v>
      </c>
      <c r="O34" s="310">
        <f>P34/C34</f>
        <v>0.13070242604939405</v>
      </c>
      <c r="P34" s="313">
        <f>SUM(P10:P33)</f>
        <v>12809.227233000001</v>
      </c>
    </row>
    <row r="35" spans="1:16" ht="7.5" customHeight="1" x14ac:dyDescent="0.25">
      <c r="A35" s="355"/>
      <c r="B35" s="361"/>
      <c r="C35" s="315"/>
      <c r="D35" s="364"/>
      <c r="E35" s="349"/>
      <c r="F35" s="314"/>
      <c r="G35" s="311"/>
      <c r="H35" s="314"/>
      <c r="I35" s="311"/>
      <c r="J35" s="314"/>
      <c r="K35" s="311"/>
      <c r="L35" s="314"/>
      <c r="M35" s="311"/>
      <c r="N35" s="314"/>
      <c r="O35" s="311"/>
      <c r="P35" s="314"/>
    </row>
    <row r="36" spans="1:16" x14ac:dyDescent="0.25">
      <c r="A36" s="351" t="s">
        <v>102</v>
      </c>
      <c r="B36" s="352"/>
      <c r="C36" s="353"/>
      <c r="D36" s="354"/>
      <c r="E36" s="349"/>
      <c r="F36" s="314"/>
      <c r="G36" s="311"/>
      <c r="H36" s="314"/>
      <c r="I36" s="311"/>
      <c r="J36" s="314"/>
      <c r="K36" s="311"/>
      <c r="L36" s="314"/>
      <c r="M36" s="311"/>
      <c r="N36" s="314"/>
      <c r="O36" s="311"/>
      <c r="P36" s="314"/>
    </row>
    <row r="37" spans="1:16" ht="8.25" customHeight="1" x14ac:dyDescent="0.25">
      <c r="A37" s="355"/>
      <c r="B37" s="356"/>
      <c r="C37" s="357"/>
      <c r="D37" s="358"/>
      <c r="E37" s="350"/>
      <c r="F37" s="315"/>
      <c r="G37" s="312"/>
      <c r="H37" s="315"/>
      <c r="I37" s="312"/>
      <c r="J37" s="315"/>
      <c r="K37" s="312"/>
      <c r="L37" s="315"/>
      <c r="M37" s="312"/>
      <c r="N37" s="315"/>
      <c r="O37" s="312"/>
      <c r="P37" s="315"/>
    </row>
    <row r="38" spans="1:16" x14ac:dyDescent="0.25">
      <c r="A38" s="351" t="s">
        <v>103</v>
      </c>
      <c r="B38" s="352"/>
      <c r="C38" s="353"/>
      <c r="D38" s="354"/>
      <c r="E38" s="310">
        <f>E34</f>
        <v>0.10580729428412004</v>
      </c>
      <c r="F38" s="313">
        <f>F34</f>
        <v>10369.430135000001</v>
      </c>
      <c r="G38" s="316">
        <f t="shared" ref="G38:P38" si="0">E38+G34</f>
        <v>0.3302535307704455</v>
      </c>
      <c r="H38" s="313">
        <f t="shared" si="0"/>
        <v>32365.830137999998</v>
      </c>
      <c r="I38" s="316">
        <f t="shared" si="0"/>
        <v>0.59510405806548339</v>
      </c>
      <c r="J38" s="313">
        <f t="shared" si="0"/>
        <v>58321.971040999997</v>
      </c>
      <c r="K38" s="316">
        <f t="shared" si="0"/>
        <v>0.75427135347748753</v>
      </c>
      <c r="L38" s="313">
        <f t="shared" si="0"/>
        <v>73920.840293999994</v>
      </c>
      <c r="M38" s="316">
        <f t="shared" si="0"/>
        <v>0.85929757395060602</v>
      </c>
      <c r="N38" s="313">
        <f t="shared" si="0"/>
        <v>85193.752666999993</v>
      </c>
      <c r="O38" s="316">
        <f t="shared" si="0"/>
        <v>0.9900000000000001</v>
      </c>
      <c r="P38" s="313">
        <f t="shared" si="0"/>
        <v>98002.979899999991</v>
      </c>
    </row>
    <row r="39" spans="1:16" x14ac:dyDescent="0.25">
      <c r="A39" s="355"/>
      <c r="B39" s="356"/>
      <c r="C39" s="357"/>
      <c r="D39" s="358"/>
      <c r="E39" s="312"/>
      <c r="F39" s="318"/>
      <c r="G39" s="317"/>
      <c r="H39" s="318"/>
      <c r="I39" s="317"/>
      <c r="J39" s="318"/>
      <c r="K39" s="317"/>
      <c r="L39" s="318"/>
      <c r="M39" s="317"/>
      <c r="N39" s="318"/>
      <c r="O39" s="317"/>
      <c r="P39" s="318"/>
    </row>
    <row r="40" spans="1:16" x14ac:dyDescent="0.25">
      <c r="A40" s="186"/>
      <c r="B40" s="186"/>
      <c r="C40" s="187"/>
      <c r="D40" s="187"/>
      <c r="E40" s="188"/>
      <c r="F40" s="189"/>
      <c r="G40" s="190"/>
      <c r="H40" s="189"/>
    </row>
    <row r="41" spans="1:16" x14ac:dyDescent="0.25">
      <c r="A41" s="186"/>
      <c r="B41" s="186"/>
      <c r="C41" s="187"/>
      <c r="D41" s="187"/>
      <c r="E41" s="188"/>
      <c r="F41" s="189"/>
      <c r="G41" s="190"/>
      <c r="H41" s="189"/>
    </row>
    <row r="42" spans="1:16" ht="15.75" x14ac:dyDescent="0.3">
      <c r="A42" s="153"/>
      <c r="B42" s="191" t="s">
        <v>180</v>
      </c>
      <c r="C42" s="348" t="s">
        <v>59</v>
      </c>
      <c r="D42" s="348"/>
      <c r="E42" s="348"/>
      <c r="F42" s="153"/>
      <c r="G42" s="123" t="s">
        <v>45</v>
      </c>
      <c r="H42" s="153"/>
    </row>
    <row r="43" spans="1:16" ht="15.75" x14ac:dyDescent="0.3">
      <c r="A43" s="153"/>
      <c r="B43" s="191" t="s">
        <v>181</v>
      </c>
      <c r="C43" s="297" t="s">
        <v>60</v>
      </c>
      <c r="D43" s="297"/>
      <c r="E43" s="297"/>
      <c r="F43" s="153"/>
      <c r="G43" s="123" t="s">
        <v>46</v>
      </c>
      <c r="H43" s="153"/>
    </row>
    <row r="44" spans="1:16" x14ac:dyDescent="0.25">
      <c r="A44" s="153"/>
      <c r="B44" s="153"/>
      <c r="C44" s="153"/>
      <c r="D44" s="153"/>
      <c r="E44" s="153"/>
      <c r="F44" s="153"/>
      <c r="G44" s="153"/>
      <c r="H44" s="153"/>
    </row>
    <row r="45" spans="1:16" x14ac:dyDescent="0.25">
      <c r="A45" s="153"/>
      <c r="B45" s="153"/>
      <c r="C45" s="153"/>
      <c r="D45" s="153"/>
      <c r="E45" s="153"/>
      <c r="F45" s="153"/>
      <c r="G45" s="153"/>
      <c r="H45" s="153"/>
    </row>
    <row r="46" spans="1:16" x14ac:dyDescent="0.25">
      <c r="A46" s="153"/>
      <c r="B46" s="153"/>
      <c r="C46" s="153"/>
      <c r="D46" s="153"/>
      <c r="E46" s="153"/>
      <c r="F46" s="153"/>
      <c r="G46" s="153"/>
      <c r="H46" s="153"/>
    </row>
    <row r="47" spans="1:16" x14ac:dyDescent="0.25">
      <c r="A47" s="153"/>
      <c r="B47" s="153"/>
      <c r="C47" s="153"/>
      <c r="D47" s="153"/>
      <c r="E47" s="153"/>
      <c r="F47" s="153"/>
      <c r="G47" s="153"/>
      <c r="H47" s="153"/>
    </row>
    <row r="48" spans="1:16" x14ac:dyDescent="0.25">
      <c r="A48" s="153"/>
      <c r="B48" s="153"/>
      <c r="C48" s="153"/>
      <c r="D48" s="153"/>
      <c r="E48" s="153"/>
      <c r="F48" s="153"/>
      <c r="G48" s="153"/>
      <c r="H48" s="153"/>
    </row>
  </sheetData>
  <mergeCells count="70">
    <mergeCell ref="C42:E42"/>
    <mergeCell ref="C43:E43"/>
    <mergeCell ref="E34:E37"/>
    <mergeCell ref="A38:D39"/>
    <mergeCell ref="E38:E39"/>
    <mergeCell ref="A36:D37"/>
    <mergeCell ref="A34:B35"/>
    <mergeCell ref="C34:C35"/>
    <mergeCell ref="D34:D35"/>
    <mergeCell ref="F38:F39"/>
    <mergeCell ref="G38:G39"/>
    <mergeCell ref="H38:H39"/>
    <mergeCell ref="F34:F37"/>
    <mergeCell ref="G34:G37"/>
    <mergeCell ref="H34:H37"/>
    <mergeCell ref="A28:A29"/>
    <mergeCell ref="B28:B29"/>
    <mergeCell ref="A30:A31"/>
    <mergeCell ref="B30:B31"/>
    <mergeCell ref="B32:B33"/>
    <mergeCell ref="A32:A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1:P1"/>
    <mergeCell ref="A2:P2"/>
    <mergeCell ref="A3:P3"/>
    <mergeCell ref="A4:P4"/>
    <mergeCell ref="A7:A9"/>
    <mergeCell ref="B7:B9"/>
    <mergeCell ref="C7:C8"/>
    <mergeCell ref="D7:D8"/>
    <mergeCell ref="E7:H7"/>
    <mergeCell ref="E8:F8"/>
    <mergeCell ref="G8:H8"/>
    <mergeCell ref="I8:J8"/>
    <mergeCell ref="M8:N8"/>
    <mergeCell ref="I34:I37"/>
    <mergeCell ref="J34:J37"/>
    <mergeCell ref="I38:I39"/>
    <mergeCell ref="J38:J39"/>
    <mergeCell ref="K8:L8"/>
    <mergeCell ref="K34:K37"/>
    <mergeCell ref="L34:L37"/>
    <mergeCell ref="K38:K39"/>
    <mergeCell ref="L38:L39"/>
    <mergeCell ref="M34:M37"/>
    <mergeCell ref="N34:N37"/>
    <mergeCell ref="M38:M39"/>
    <mergeCell ref="N38:N39"/>
    <mergeCell ref="O8:P8"/>
    <mergeCell ref="O34:O37"/>
    <mergeCell ref="P34:P37"/>
    <mergeCell ref="O38:O39"/>
    <mergeCell ref="P38:P39"/>
  </mergeCells>
  <printOptions horizontalCentered="1"/>
  <pageMargins left="0.31496062992125984" right="0.51181102362204722" top="0.39370078740157483" bottom="0.19685039370078741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13" zoomScale="60" zoomScaleNormal="100" workbookViewId="0">
      <selection activeCell="N22" sqref="N22"/>
    </sheetView>
  </sheetViews>
  <sheetFormatPr defaultRowHeight="15" x14ac:dyDescent="0.25"/>
  <cols>
    <col min="2" max="2" width="56.28515625" customWidth="1"/>
    <col min="3" max="3" width="15.28515625" customWidth="1"/>
    <col min="4" max="4" width="18.5703125" customWidth="1"/>
    <col min="5" max="5" width="15.28515625" customWidth="1"/>
    <col min="6" max="6" width="18.5703125" customWidth="1"/>
  </cols>
  <sheetData>
    <row r="1" spans="1:6" ht="23.25" x14ac:dyDescent="0.35">
      <c r="A1" s="369" t="s">
        <v>22</v>
      </c>
      <c r="B1" s="369"/>
      <c r="C1" s="369"/>
      <c r="D1" s="369"/>
      <c r="E1" s="369"/>
      <c r="F1" s="369"/>
    </row>
    <row r="2" spans="1:6" x14ac:dyDescent="0.25">
      <c r="A2" s="370" t="s">
        <v>23</v>
      </c>
      <c r="B2" s="370"/>
      <c r="C2" s="370"/>
      <c r="D2" s="370"/>
      <c r="E2" s="370"/>
      <c r="F2" s="370"/>
    </row>
    <row r="3" spans="1:6" x14ac:dyDescent="0.25">
      <c r="A3" s="371" t="s">
        <v>24</v>
      </c>
      <c r="B3" s="371"/>
      <c r="C3" s="371"/>
      <c r="D3" s="371"/>
      <c r="E3" s="371"/>
      <c r="F3" s="371"/>
    </row>
    <row r="4" spans="1:6" x14ac:dyDescent="0.25">
      <c r="A4" s="372" t="s">
        <v>111</v>
      </c>
      <c r="B4" s="372"/>
      <c r="C4" s="372"/>
      <c r="D4" s="372"/>
      <c r="E4" s="372"/>
      <c r="F4" s="372"/>
    </row>
    <row r="6" spans="1:6" x14ac:dyDescent="0.25">
      <c r="A6" s="373" t="s">
        <v>112</v>
      </c>
      <c r="B6" s="373"/>
      <c r="C6" s="373"/>
      <c r="D6" s="373"/>
      <c r="E6" s="373"/>
      <c r="F6" s="373"/>
    </row>
    <row r="7" spans="1:6" x14ac:dyDescent="0.25">
      <c r="A7" s="365" t="s">
        <v>113</v>
      </c>
      <c r="B7" s="365" t="s">
        <v>2</v>
      </c>
      <c r="C7" s="367" t="s">
        <v>114</v>
      </c>
      <c r="D7" s="368"/>
      <c r="E7" s="367" t="s">
        <v>115</v>
      </c>
      <c r="F7" s="368"/>
    </row>
    <row r="8" spans="1:6" x14ac:dyDescent="0.25">
      <c r="A8" s="366"/>
      <c r="B8" s="366"/>
      <c r="C8" s="10" t="s">
        <v>116</v>
      </c>
      <c r="D8" s="10" t="s">
        <v>117</v>
      </c>
      <c r="E8" s="10" t="s">
        <v>116</v>
      </c>
      <c r="F8" s="10" t="s">
        <v>117</v>
      </c>
    </row>
    <row r="9" spans="1:6" x14ac:dyDescent="0.25">
      <c r="A9" s="375" t="s">
        <v>118</v>
      </c>
      <c r="B9" s="376"/>
      <c r="C9" s="376"/>
      <c r="D9" s="376"/>
      <c r="E9" s="376"/>
      <c r="F9" s="377"/>
    </row>
    <row r="10" spans="1:6" x14ac:dyDescent="0.25">
      <c r="A10" s="10" t="s">
        <v>119</v>
      </c>
      <c r="B10" s="163" t="s">
        <v>120</v>
      </c>
      <c r="C10" s="164">
        <v>0</v>
      </c>
      <c r="D10" s="164">
        <v>0</v>
      </c>
      <c r="E10" s="164">
        <v>20</v>
      </c>
      <c r="F10" s="164">
        <v>20</v>
      </c>
    </row>
    <row r="11" spans="1:6" x14ac:dyDescent="0.25">
      <c r="A11" s="10" t="s">
        <v>121</v>
      </c>
      <c r="B11" s="163" t="s">
        <v>122</v>
      </c>
      <c r="C11" s="164">
        <v>1.5</v>
      </c>
      <c r="D11" s="164">
        <v>1.5</v>
      </c>
      <c r="E11" s="164">
        <v>1.5</v>
      </c>
      <c r="F11" s="164">
        <v>1.5</v>
      </c>
    </row>
    <row r="12" spans="1:6" x14ac:dyDescent="0.25">
      <c r="A12" s="10" t="s">
        <v>123</v>
      </c>
      <c r="B12" s="163" t="s">
        <v>124</v>
      </c>
      <c r="C12" s="164">
        <v>1</v>
      </c>
      <c r="D12" s="164">
        <v>1</v>
      </c>
      <c r="E12" s="164">
        <v>1</v>
      </c>
      <c r="F12" s="164">
        <v>1</v>
      </c>
    </row>
    <row r="13" spans="1:6" x14ac:dyDescent="0.25">
      <c r="A13" s="10" t="s">
        <v>125</v>
      </c>
      <c r="B13" s="163" t="s">
        <v>126</v>
      </c>
      <c r="C13" s="164">
        <v>0.2</v>
      </c>
      <c r="D13" s="164">
        <v>0.2</v>
      </c>
      <c r="E13" s="164">
        <v>0.2</v>
      </c>
      <c r="F13" s="164">
        <v>0.2</v>
      </c>
    </row>
    <row r="14" spans="1:6" x14ac:dyDescent="0.25">
      <c r="A14" s="10" t="s">
        <v>127</v>
      </c>
      <c r="B14" s="163" t="s">
        <v>128</v>
      </c>
      <c r="C14" s="164">
        <v>0.6</v>
      </c>
      <c r="D14" s="164">
        <v>0.6</v>
      </c>
      <c r="E14" s="164">
        <v>0.6</v>
      </c>
      <c r="F14" s="164">
        <v>0.6</v>
      </c>
    </row>
    <row r="15" spans="1:6" x14ac:dyDescent="0.25">
      <c r="A15" s="10" t="s">
        <v>129</v>
      </c>
      <c r="B15" s="163" t="s">
        <v>130</v>
      </c>
      <c r="C15" s="164">
        <v>2.5</v>
      </c>
      <c r="D15" s="164">
        <v>2.5</v>
      </c>
      <c r="E15" s="164">
        <v>2.5</v>
      </c>
      <c r="F15" s="164">
        <v>2.5</v>
      </c>
    </row>
    <row r="16" spans="1:6" x14ac:dyDescent="0.25">
      <c r="A16" s="10" t="s">
        <v>131</v>
      </c>
      <c r="B16" s="163" t="s">
        <v>132</v>
      </c>
      <c r="C16" s="164">
        <v>3</v>
      </c>
      <c r="D16" s="164">
        <v>3</v>
      </c>
      <c r="E16" s="164">
        <v>3</v>
      </c>
      <c r="F16" s="164">
        <v>3</v>
      </c>
    </row>
    <row r="17" spans="1:6" x14ac:dyDescent="0.25">
      <c r="A17" s="10" t="s">
        <v>133</v>
      </c>
      <c r="B17" s="163" t="s">
        <v>134</v>
      </c>
      <c r="C17" s="164">
        <v>8</v>
      </c>
      <c r="D17" s="164">
        <v>8</v>
      </c>
      <c r="E17" s="164">
        <v>8</v>
      </c>
      <c r="F17" s="164">
        <v>8</v>
      </c>
    </row>
    <row r="18" spans="1:6" x14ac:dyDescent="0.25">
      <c r="A18" s="10" t="s">
        <v>135</v>
      </c>
      <c r="B18" s="163" t="s">
        <v>136</v>
      </c>
      <c r="C18" s="164">
        <v>1</v>
      </c>
      <c r="D18" s="164">
        <v>1</v>
      </c>
      <c r="E18" s="164">
        <v>1</v>
      </c>
      <c r="F18" s="164">
        <v>1</v>
      </c>
    </row>
    <row r="19" spans="1:6" x14ac:dyDescent="0.25">
      <c r="A19" s="120" t="s">
        <v>137</v>
      </c>
      <c r="B19" s="120" t="s">
        <v>49</v>
      </c>
      <c r="C19" s="165">
        <f>SUM(C10:C18)</f>
        <v>17.8</v>
      </c>
      <c r="D19" s="165">
        <f>SUM(D10:D18)</f>
        <v>17.8</v>
      </c>
      <c r="E19" s="165">
        <f>SUM(E10:E18)</f>
        <v>37.799999999999997</v>
      </c>
      <c r="F19" s="165">
        <f>SUM(F10:F18)</f>
        <v>37.799999999999997</v>
      </c>
    </row>
    <row r="20" spans="1:6" x14ac:dyDescent="0.25">
      <c r="A20" s="375" t="s">
        <v>138</v>
      </c>
      <c r="B20" s="376"/>
      <c r="C20" s="376"/>
      <c r="D20" s="376"/>
      <c r="E20" s="376"/>
      <c r="F20" s="377"/>
    </row>
    <row r="21" spans="1:6" x14ac:dyDescent="0.25">
      <c r="A21" s="10" t="s">
        <v>139</v>
      </c>
      <c r="B21" s="166" t="s">
        <v>140</v>
      </c>
      <c r="C21" s="164">
        <v>17.940000000000001</v>
      </c>
      <c r="D21" s="164">
        <v>0</v>
      </c>
      <c r="E21" s="164">
        <v>17.940000000000001</v>
      </c>
      <c r="F21" s="164">
        <v>0</v>
      </c>
    </row>
    <row r="22" spans="1:6" x14ac:dyDescent="0.25">
      <c r="A22" s="10" t="s">
        <v>141</v>
      </c>
      <c r="B22" s="166" t="s">
        <v>142</v>
      </c>
      <c r="C22" s="164">
        <v>4.01</v>
      </c>
      <c r="D22" s="164">
        <v>0</v>
      </c>
      <c r="E22" s="164">
        <v>4.01</v>
      </c>
      <c r="F22" s="164">
        <v>0</v>
      </c>
    </row>
    <row r="23" spans="1:6" x14ac:dyDescent="0.25">
      <c r="A23" s="10" t="s">
        <v>143</v>
      </c>
      <c r="B23" s="166" t="s">
        <v>144</v>
      </c>
      <c r="C23" s="164">
        <v>0.9</v>
      </c>
      <c r="D23" s="10">
        <v>0.69</v>
      </c>
      <c r="E23" s="164">
        <v>0.9</v>
      </c>
      <c r="F23" s="10">
        <v>0.69</v>
      </c>
    </row>
    <row r="24" spans="1:6" x14ac:dyDescent="0.25">
      <c r="A24" s="10" t="s">
        <v>145</v>
      </c>
      <c r="B24" s="166" t="s">
        <v>146</v>
      </c>
      <c r="C24" s="164">
        <v>10.85</v>
      </c>
      <c r="D24" s="10">
        <v>8.33</v>
      </c>
      <c r="E24" s="164">
        <v>10.79</v>
      </c>
      <c r="F24" s="10">
        <v>8.33</v>
      </c>
    </row>
    <row r="25" spans="1:6" x14ac:dyDescent="0.25">
      <c r="A25" s="10" t="s">
        <v>147</v>
      </c>
      <c r="B25" s="166" t="s">
        <v>148</v>
      </c>
      <c r="C25" s="164">
        <v>0.08</v>
      </c>
      <c r="D25" s="10">
        <v>0.06</v>
      </c>
      <c r="E25" s="164">
        <v>0.08</v>
      </c>
      <c r="F25" s="10">
        <v>0.06</v>
      </c>
    </row>
    <row r="26" spans="1:6" x14ac:dyDescent="0.25">
      <c r="A26" s="10" t="s">
        <v>149</v>
      </c>
      <c r="B26" s="166" t="s">
        <v>150</v>
      </c>
      <c r="C26" s="164">
        <v>0.72</v>
      </c>
      <c r="D26" s="10">
        <v>0.56000000000000005</v>
      </c>
      <c r="E26" s="164">
        <v>0.72</v>
      </c>
      <c r="F26" s="10">
        <v>0.56000000000000005</v>
      </c>
    </row>
    <row r="27" spans="1:6" x14ac:dyDescent="0.25">
      <c r="A27" s="10" t="s">
        <v>151</v>
      </c>
      <c r="B27" s="166" t="s">
        <v>152</v>
      </c>
      <c r="C27" s="164">
        <v>1.77</v>
      </c>
      <c r="D27" s="164">
        <v>0</v>
      </c>
      <c r="E27" s="164">
        <v>1.76</v>
      </c>
      <c r="F27" s="164">
        <v>0</v>
      </c>
    </row>
    <row r="28" spans="1:6" x14ac:dyDescent="0.25">
      <c r="A28" s="10" t="s">
        <v>153</v>
      </c>
      <c r="B28" s="166" t="s">
        <v>154</v>
      </c>
      <c r="C28" s="164">
        <v>0.12</v>
      </c>
      <c r="D28" s="10">
        <v>0.09</v>
      </c>
      <c r="E28" s="164">
        <v>0.12</v>
      </c>
      <c r="F28" s="10">
        <v>0.09</v>
      </c>
    </row>
    <row r="29" spans="1:6" x14ac:dyDescent="0.25">
      <c r="A29" s="10" t="s">
        <v>155</v>
      </c>
      <c r="B29" s="166" t="s">
        <v>156</v>
      </c>
      <c r="C29" s="164">
        <v>8.75</v>
      </c>
      <c r="D29" s="10">
        <v>6.72</v>
      </c>
      <c r="E29" s="164">
        <v>7.79</v>
      </c>
      <c r="F29" s="10">
        <v>6.01</v>
      </c>
    </row>
    <row r="30" spans="1:6" x14ac:dyDescent="0.25">
      <c r="A30" s="10" t="s">
        <v>157</v>
      </c>
      <c r="B30" s="166" t="s">
        <v>158</v>
      </c>
      <c r="C30" s="164">
        <v>0.03</v>
      </c>
      <c r="D30" s="10">
        <v>0.02</v>
      </c>
      <c r="E30" s="164">
        <v>0.03</v>
      </c>
      <c r="F30" s="10">
        <v>0.02</v>
      </c>
    </row>
    <row r="31" spans="1:6" x14ac:dyDescent="0.25">
      <c r="A31" s="120" t="s">
        <v>159</v>
      </c>
      <c r="B31" s="120" t="s">
        <v>160</v>
      </c>
      <c r="C31" s="120">
        <f>SUM(C21:C30)</f>
        <v>45.17</v>
      </c>
      <c r="D31" s="120">
        <f>SUM(D21:D30)</f>
        <v>16.47</v>
      </c>
      <c r="E31" s="165">
        <f>SUM(E21:E30)</f>
        <v>44.139999999999993</v>
      </c>
      <c r="F31" s="165">
        <f>SUM(F21:F30)</f>
        <v>15.76</v>
      </c>
    </row>
    <row r="32" spans="1:6" x14ac:dyDescent="0.25">
      <c r="A32" s="375" t="s">
        <v>161</v>
      </c>
      <c r="B32" s="376"/>
      <c r="C32" s="376"/>
      <c r="D32" s="376"/>
      <c r="E32" s="376"/>
      <c r="F32" s="377"/>
    </row>
    <row r="33" spans="1:6" x14ac:dyDescent="0.25">
      <c r="A33" s="10" t="s">
        <v>162</v>
      </c>
      <c r="B33" s="166" t="s">
        <v>163</v>
      </c>
      <c r="C33" s="10">
        <v>5.21</v>
      </c>
      <c r="D33" s="164">
        <v>4</v>
      </c>
      <c r="E33" s="10">
        <v>4.62</v>
      </c>
      <c r="F33" s="10">
        <v>3.57</v>
      </c>
    </row>
    <row r="34" spans="1:6" x14ac:dyDescent="0.25">
      <c r="A34" s="10" t="s">
        <v>164</v>
      </c>
      <c r="B34" s="166" t="s">
        <v>165</v>
      </c>
      <c r="C34" s="10">
        <v>0.12</v>
      </c>
      <c r="D34" s="10">
        <v>0.09</v>
      </c>
      <c r="E34" s="10">
        <v>0.28000000000000003</v>
      </c>
      <c r="F34" s="10">
        <v>0.21</v>
      </c>
    </row>
    <row r="35" spans="1:6" x14ac:dyDescent="0.25">
      <c r="A35" s="10" t="s">
        <v>166</v>
      </c>
      <c r="B35" s="166" t="s">
        <v>167</v>
      </c>
      <c r="C35" s="10">
        <v>4.68</v>
      </c>
      <c r="D35" s="164">
        <v>3.59</v>
      </c>
      <c r="E35" s="10">
        <v>5.18</v>
      </c>
      <c r="F35" s="164">
        <v>4</v>
      </c>
    </row>
    <row r="36" spans="1:6" x14ac:dyDescent="0.25">
      <c r="A36" s="10" t="s">
        <v>168</v>
      </c>
      <c r="B36" s="166" t="s">
        <v>169</v>
      </c>
      <c r="C36" s="164">
        <v>4.7</v>
      </c>
      <c r="D36" s="164">
        <v>3.61</v>
      </c>
      <c r="E36" s="10">
        <v>4.6500000000000004</v>
      </c>
      <c r="F36" s="164">
        <v>3.6</v>
      </c>
    </row>
    <row r="37" spans="1:6" x14ac:dyDescent="0.25">
      <c r="A37" s="10" t="s">
        <v>170</v>
      </c>
      <c r="B37" s="166" t="s">
        <v>171</v>
      </c>
      <c r="C37" s="10">
        <v>0.44</v>
      </c>
      <c r="D37" s="164">
        <v>0.34</v>
      </c>
      <c r="E37" s="10">
        <v>0.39</v>
      </c>
      <c r="F37" s="164">
        <v>0.3</v>
      </c>
    </row>
    <row r="38" spans="1:6" x14ac:dyDescent="0.25">
      <c r="A38" s="120" t="s">
        <v>172</v>
      </c>
      <c r="B38" s="120" t="s">
        <v>49</v>
      </c>
      <c r="C38" s="120">
        <f>SUM(C33:C37)</f>
        <v>15.15</v>
      </c>
      <c r="D38" s="120">
        <f>SUM(D33:D37)</f>
        <v>11.629999999999999</v>
      </c>
      <c r="E38" s="120">
        <f>SUM(E33:E37)</f>
        <v>15.120000000000001</v>
      </c>
      <c r="F38" s="120">
        <f>SUM(F33:F37)</f>
        <v>11.68</v>
      </c>
    </row>
    <row r="39" spans="1:6" x14ac:dyDescent="0.25">
      <c r="A39" s="375" t="s">
        <v>173</v>
      </c>
      <c r="B39" s="376"/>
      <c r="C39" s="376"/>
      <c r="D39" s="376"/>
      <c r="E39" s="376"/>
      <c r="F39" s="377"/>
    </row>
    <row r="40" spans="1:6" x14ac:dyDescent="0.25">
      <c r="A40" s="10" t="s">
        <v>174</v>
      </c>
      <c r="B40" s="166" t="s">
        <v>175</v>
      </c>
      <c r="C40" s="10">
        <v>8.0399999999999991</v>
      </c>
      <c r="D40" s="10">
        <v>2.93</v>
      </c>
      <c r="E40" s="10">
        <v>16.68</v>
      </c>
      <c r="F40" s="10">
        <v>5.96</v>
      </c>
    </row>
    <row r="41" spans="1:6" ht="45" x14ac:dyDescent="0.25">
      <c r="A41" s="10" t="s">
        <v>176</v>
      </c>
      <c r="B41" s="167" t="s">
        <v>177</v>
      </c>
      <c r="C41" s="10">
        <v>0.44</v>
      </c>
      <c r="D41" s="10">
        <v>0.34</v>
      </c>
      <c r="E41" s="10">
        <v>0.48</v>
      </c>
      <c r="F41" s="10">
        <v>0.36</v>
      </c>
    </row>
    <row r="42" spans="1:6" x14ac:dyDescent="0.25">
      <c r="A42" s="10" t="s">
        <v>178</v>
      </c>
      <c r="B42" s="120" t="s">
        <v>49</v>
      </c>
      <c r="C42" s="120">
        <f>SUM(C40:C41)</f>
        <v>8.4799999999999986</v>
      </c>
      <c r="D42" s="120">
        <f>SUM(D40:D41)</f>
        <v>3.27</v>
      </c>
      <c r="E42" s="120">
        <f>SUM(E40:E41)</f>
        <v>17.16</v>
      </c>
      <c r="F42" s="120">
        <f>SUM(F40:F41)</f>
        <v>6.32</v>
      </c>
    </row>
    <row r="43" spans="1:6" x14ac:dyDescent="0.25">
      <c r="A43" s="378" t="s">
        <v>179</v>
      </c>
      <c r="B43" s="379"/>
      <c r="C43" s="168">
        <f>SUM(C19,C31,C38,C42)</f>
        <v>86.600000000000009</v>
      </c>
      <c r="D43" s="168">
        <f>SUM(D19,D31,D38,D42)</f>
        <v>49.169999999999995</v>
      </c>
      <c r="E43" s="168">
        <f>SUM(E19,E31,E38,E42)</f>
        <v>114.22</v>
      </c>
      <c r="F43" s="168">
        <f>SUM(F19,F31,F38,F42)</f>
        <v>71.56</v>
      </c>
    </row>
    <row r="45" spans="1:6" x14ac:dyDescent="0.25">
      <c r="B45" s="123"/>
    </row>
    <row r="46" spans="1:6" x14ac:dyDescent="0.25">
      <c r="B46" s="123"/>
    </row>
    <row r="47" spans="1:6" x14ac:dyDescent="0.25">
      <c r="B47" s="169" t="s">
        <v>45</v>
      </c>
      <c r="C47" s="121" t="s">
        <v>59</v>
      </c>
      <c r="D47" s="380" t="s">
        <v>180</v>
      </c>
      <c r="E47" s="380"/>
      <c r="F47" s="380"/>
    </row>
    <row r="48" spans="1:6" x14ac:dyDescent="0.25">
      <c r="B48" s="169" t="s">
        <v>46</v>
      </c>
      <c r="C48" s="122" t="s">
        <v>60</v>
      </c>
      <c r="D48" s="374" t="s">
        <v>181</v>
      </c>
      <c r="E48" s="374"/>
      <c r="F48" s="374"/>
    </row>
    <row r="53" spans="6:8" x14ac:dyDescent="0.25">
      <c r="F53" s="11">
        <v>86.6</v>
      </c>
    </row>
    <row r="54" spans="6:8" x14ac:dyDescent="0.25">
      <c r="F54" s="11">
        <f>C43</f>
        <v>86.600000000000009</v>
      </c>
      <c r="H54">
        <f>0.39+0.16</f>
        <v>0.55000000000000004</v>
      </c>
    </row>
    <row r="55" spans="6:8" x14ac:dyDescent="0.25">
      <c r="F55" s="1">
        <f>F53-F54</f>
        <v>0</v>
      </c>
    </row>
    <row r="56" spans="6:8" x14ac:dyDescent="0.25">
      <c r="H56">
        <v>49.17</v>
      </c>
    </row>
    <row r="57" spans="6:8" x14ac:dyDescent="0.25">
      <c r="H57" s="170">
        <f>D43</f>
        <v>49.169999999999995</v>
      </c>
    </row>
    <row r="58" spans="6:8" x14ac:dyDescent="0.25">
      <c r="H58" s="170">
        <f>H56-H57</f>
        <v>0</v>
      </c>
    </row>
  </sheetData>
  <mergeCells count="16">
    <mergeCell ref="D48:F48"/>
    <mergeCell ref="A9:F9"/>
    <mergeCell ref="A20:F20"/>
    <mergeCell ref="A32:F32"/>
    <mergeCell ref="A39:F39"/>
    <mergeCell ref="A43:B43"/>
    <mergeCell ref="D47:F47"/>
    <mergeCell ref="A7:A8"/>
    <mergeCell ref="B7:B8"/>
    <mergeCell ref="C7:D7"/>
    <mergeCell ref="E7:F7"/>
    <mergeCell ref="A1:F1"/>
    <mergeCell ref="A2:F2"/>
    <mergeCell ref="A3:F3"/>
    <mergeCell ref="A4:F4"/>
    <mergeCell ref="A6:F6"/>
  </mergeCells>
  <pageMargins left="0.511811024" right="0.511811024" top="0.78740157499999996" bottom="0.78740157499999996" header="0.31496062000000002" footer="0.31496062000000002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BreakPreview" topLeftCell="A16" zoomScaleNormal="100" zoomScaleSheetLayoutView="100" workbookViewId="0">
      <selection activeCell="G35" sqref="G35"/>
    </sheetView>
  </sheetViews>
  <sheetFormatPr defaultRowHeight="15" x14ac:dyDescent="0.25"/>
  <cols>
    <col min="1" max="1" width="19.42578125" customWidth="1"/>
    <col min="2" max="2" width="43.85546875" customWidth="1"/>
    <col min="3" max="3" width="7.5703125" customWidth="1"/>
    <col min="4" max="4" width="18.7109375" customWidth="1"/>
  </cols>
  <sheetData>
    <row r="1" spans="1:4" ht="23.25" x14ac:dyDescent="0.25">
      <c r="A1" s="384" t="s">
        <v>22</v>
      </c>
      <c r="B1" s="384"/>
      <c r="C1" s="384"/>
      <c r="D1" s="384"/>
    </row>
    <row r="2" spans="1:4" x14ac:dyDescent="0.25">
      <c r="A2" s="322" t="s">
        <v>87</v>
      </c>
      <c r="B2" s="322"/>
      <c r="C2" s="322"/>
      <c r="D2" s="322"/>
    </row>
    <row r="3" spans="1:4" x14ac:dyDescent="0.25">
      <c r="A3" s="322" t="s">
        <v>182</v>
      </c>
      <c r="B3" s="322"/>
      <c r="C3" s="322"/>
      <c r="D3" s="322"/>
    </row>
    <row r="4" spans="1:4" x14ac:dyDescent="0.25">
      <c r="A4" s="322"/>
      <c r="B4" s="322"/>
      <c r="C4" s="322"/>
      <c r="D4" s="322"/>
    </row>
    <row r="6" spans="1:4" x14ac:dyDescent="0.25">
      <c r="A6" s="385" t="s">
        <v>183</v>
      </c>
      <c r="B6" s="386"/>
      <c r="C6" s="386"/>
      <c r="D6" s="387"/>
    </row>
    <row r="7" spans="1:4" x14ac:dyDescent="0.25">
      <c r="A7" s="388" t="s">
        <v>184</v>
      </c>
      <c r="B7" s="389"/>
      <c r="C7" s="389"/>
      <c r="D7" s="390"/>
    </row>
    <row r="8" spans="1:4" x14ac:dyDescent="0.25">
      <c r="A8" s="381"/>
      <c r="B8" s="381"/>
      <c r="C8" s="381"/>
      <c r="D8" s="381"/>
    </row>
    <row r="9" spans="1:4" x14ac:dyDescent="0.25">
      <c r="A9" s="171" t="s">
        <v>185</v>
      </c>
      <c r="B9" s="171" t="s">
        <v>186</v>
      </c>
      <c r="C9" s="171"/>
      <c r="D9" s="171" t="s">
        <v>91</v>
      </c>
    </row>
    <row r="10" spans="1:4" x14ac:dyDescent="0.25">
      <c r="A10" s="172"/>
      <c r="B10" s="172"/>
      <c r="C10" s="172"/>
      <c r="D10" s="173"/>
    </row>
    <row r="11" spans="1:4" x14ac:dyDescent="0.25">
      <c r="A11" s="171" t="s">
        <v>1</v>
      </c>
      <c r="B11" s="171" t="s">
        <v>88</v>
      </c>
      <c r="C11" s="171"/>
      <c r="D11" s="174"/>
    </row>
    <row r="12" spans="1:4" x14ac:dyDescent="0.25">
      <c r="A12" s="172"/>
      <c r="B12" s="172"/>
      <c r="C12" s="172"/>
      <c r="D12" s="173"/>
    </row>
    <row r="13" spans="1:4" x14ac:dyDescent="0.25">
      <c r="A13" s="172"/>
      <c r="B13" s="175" t="s">
        <v>118</v>
      </c>
      <c r="C13" s="175"/>
      <c r="D13" s="173"/>
    </row>
    <row r="14" spans="1:4" x14ac:dyDescent="0.25">
      <c r="A14" s="171"/>
      <c r="B14" s="176" t="s">
        <v>187</v>
      </c>
      <c r="C14" s="176"/>
      <c r="D14" s="177">
        <f>SUM(D15:D16)</f>
        <v>5.2299999999999999E-2</v>
      </c>
    </row>
    <row r="15" spans="1:4" x14ac:dyDescent="0.25">
      <c r="A15" s="171">
        <v>1</v>
      </c>
      <c r="B15" s="178" t="s">
        <v>326</v>
      </c>
      <c r="C15" s="247" t="s">
        <v>327</v>
      </c>
      <c r="D15" s="179">
        <v>0.04</v>
      </c>
    </row>
    <row r="16" spans="1:4" x14ac:dyDescent="0.25">
      <c r="A16" s="171">
        <v>2</v>
      </c>
      <c r="B16" s="178" t="s">
        <v>328</v>
      </c>
      <c r="C16" s="247" t="s">
        <v>329</v>
      </c>
      <c r="D16" s="179">
        <v>1.23E-2</v>
      </c>
    </row>
    <row r="17" spans="1:9" x14ac:dyDescent="0.25">
      <c r="A17" s="171"/>
      <c r="B17" s="172" t="s">
        <v>330</v>
      </c>
      <c r="C17" s="248" t="s">
        <v>331</v>
      </c>
      <c r="D17" s="179">
        <v>1.2699999999999999E-2</v>
      </c>
    </row>
    <row r="18" spans="1:9" x14ac:dyDescent="0.25">
      <c r="A18" s="171"/>
      <c r="B18" s="172" t="s">
        <v>332</v>
      </c>
      <c r="C18" s="248" t="s">
        <v>333</v>
      </c>
      <c r="D18" s="179">
        <v>8.0000000000000002E-3</v>
      </c>
    </row>
    <row r="19" spans="1:9" x14ac:dyDescent="0.25">
      <c r="A19" s="171"/>
      <c r="B19" s="172"/>
      <c r="C19" s="172"/>
      <c r="D19" s="179"/>
    </row>
    <row r="20" spans="1:9" x14ac:dyDescent="0.25">
      <c r="A20" s="171"/>
      <c r="B20" s="175" t="s">
        <v>138</v>
      </c>
      <c r="C20" s="175"/>
      <c r="D20" s="173"/>
    </row>
    <row r="21" spans="1:9" x14ac:dyDescent="0.25">
      <c r="A21" s="171"/>
      <c r="B21" s="176" t="s">
        <v>187</v>
      </c>
      <c r="C21" s="176"/>
      <c r="D21" s="177">
        <f>SUM(D22:D24)</f>
        <v>7.3999999999999996E-2</v>
      </c>
    </row>
    <row r="22" spans="1:9" x14ac:dyDescent="0.25">
      <c r="A22" s="171">
        <v>3</v>
      </c>
      <c r="B22" s="178"/>
      <c r="C22" s="178"/>
      <c r="D22" s="179"/>
    </row>
    <row r="23" spans="1:9" x14ac:dyDescent="0.25">
      <c r="A23" s="171">
        <v>4</v>
      </c>
      <c r="B23" s="178" t="s">
        <v>188</v>
      </c>
      <c r="C23" s="247" t="s">
        <v>334</v>
      </c>
      <c r="D23" s="179">
        <v>7.3999999999999996E-2</v>
      </c>
    </row>
    <row r="24" spans="1:9" x14ac:dyDescent="0.25">
      <c r="A24" s="171">
        <v>5</v>
      </c>
      <c r="B24" s="178"/>
      <c r="C24" s="178"/>
      <c r="D24" s="179"/>
    </row>
    <row r="25" spans="1:9" x14ac:dyDescent="0.25">
      <c r="A25" s="171"/>
      <c r="B25" s="172"/>
      <c r="C25" s="172"/>
      <c r="D25" s="173"/>
    </row>
    <row r="26" spans="1:9" x14ac:dyDescent="0.25">
      <c r="A26" s="171"/>
      <c r="B26" s="172"/>
      <c r="C26" s="172"/>
      <c r="D26" s="173"/>
    </row>
    <row r="27" spans="1:9" x14ac:dyDescent="0.25">
      <c r="A27" s="171"/>
      <c r="B27" s="175" t="s">
        <v>161</v>
      </c>
      <c r="C27" s="175"/>
      <c r="D27" s="173"/>
    </row>
    <row r="28" spans="1:9" x14ac:dyDescent="0.25">
      <c r="A28" s="171"/>
      <c r="B28" s="176" t="s">
        <v>187</v>
      </c>
      <c r="C28" s="176"/>
      <c r="D28" s="177">
        <f>SUM(D29:D33)</f>
        <v>0.10149999999999999</v>
      </c>
    </row>
    <row r="29" spans="1:9" x14ac:dyDescent="0.25">
      <c r="A29" s="171">
        <v>6</v>
      </c>
      <c r="B29" s="178" t="s">
        <v>189</v>
      </c>
      <c r="C29" s="391" t="s">
        <v>335</v>
      </c>
      <c r="D29" s="179"/>
      <c r="G29">
        <v>23.49</v>
      </c>
    </row>
    <row r="30" spans="1:9" x14ac:dyDescent="0.25">
      <c r="A30" s="171" t="s">
        <v>17</v>
      </c>
      <c r="B30" s="178" t="s">
        <v>190</v>
      </c>
      <c r="C30" s="392"/>
      <c r="D30" s="179">
        <v>6.4999999999999997E-3</v>
      </c>
      <c r="G30">
        <v>20.61</v>
      </c>
      <c r="I30" s="183">
        <f>D23-2.88</f>
        <v>-2.806</v>
      </c>
    </row>
    <row r="31" spans="1:9" x14ac:dyDescent="0.25">
      <c r="A31" s="171" t="s">
        <v>78</v>
      </c>
      <c r="B31" s="178" t="s">
        <v>191</v>
      </c>
      <c r="C31" s="392"/>
      <c r="D31" s="179">
        <v>0.03</v>
      </c>
      <c r="G31">
        <f>G29-G30</f>
        <v>2.879999999999999</v>
      </c>
    </row>
    <row r="32" spans="1:9" x14ac:dyDescent="0.25">
      <c r="A32" s="171" t="s">
        <v>79</v>
      </c>
      <c r="B32" s="178" t="s">
        <v>192</v>
      </c>
      <c r="C32" s="392"/>
      <c r="D32" s="179">
        <v>0.02</v>
      </c>
    </row>
    <row r="33" spans="1:13" x14ac:dyDescent="0.25">
      <c r="A33" s="171" t="s">
        <v>80</v>
      </c>
      <c r="B33" s="178" t="s">
        <v>193</v>
      </c>
      <c r="C33" s="393"/>
      <c r="D33" s="179">
        <v>4.4999999999999998E-2</v>
      </c>
    </row>
    <row r="34" spans="1:13" x14ac:dyDescent="0.25">
      <c r="A34" s="171"/>
      <c r="B34" s="172"/>
      <c r="C34" s="172"/>
      <c r="D34" s="173"/>
      <c r="L34">
        <f>77.01/-6.65</f>
        <v>-11.580451127819549</v>
      </c>
    </row>
    <row r="35" spans="1:13" x14ac:dyDescent="0.25">
      <c r="A35" s="171"/>
      <c r="B35" s="172"/>
      <c r="C35" s="172"/>
      <c r="D35" s="173"/>
      <c r="M35">
        <f>L34-1</f>
        <v>-12.580451127819549</v>
      </c>
    </row>
    <row r="36" spans="1:13" x14ac:dyDescent="0.25">
      <c r="A36" s="171"/>
      <c r="B36" s="382" t="s">
        <v>194</v>
      </c>
      <c r="C36" s="199"/>
      <c r="D36" s="173"/>
      <c r="M36">
        <f>M35*100</f>
        <v>-1258.0451127819549</v>
      </c>
    </row>
    <row r="37" spans="1:13" x14ac:dyDescent="0.25">
      <c r="A37" s="171"/>
      <c r="B37" s="383"/>
      <c r="C37" s="200"/>
      <c r="D37" s="173"/>
    </row>
    <row r="38" spans="1:13" x14ac:dyDescent="0.25">
      <c r="A38" s="171"/>
      <c r="B38" s="383"/>
      <c r="C38" s="200"/>
      <c r="D38" s="173"/>
      <c r="G38" t="s">
        <v>195</v>
      </c>
      <c r="H38">
        <v>5.27</v>
      </c>
      <c r="J38">
        <f>1+H38</f>
        <v>6.27</v>
      </c>
      <c r="K38">
        <f>J38+J39</f>
        <v>16.7</v>
      </c>
    </row>
    <row r="39" spans="1:13" x14ac:dyDescent="0.25">
      <c r="A39" s="171"/>
      <c r="B39" s="180" t="s">
        <v>336</v>
      </c>
      <c r="C39" s="180"/>
      <c r="D39" s="177">
        <v>0.28349999999999997</v>
      </c>
      <c r="G39" t="s">
        <v>196</v>
      </c>
      <c r="H39">
        <v>9.43</v>
      </c>
      <c r="J39">
        <f>1+H39</f>
        <v>10.43</v>
      </c>
    </row>
    <row r="40" spans="1:13" x14ac:dyDescent="0.25">
      <c r="G40" t="s">
        <v>197</v>
      </c>
      <c r="H40">
        <v>10.15</v>
      </c>
      <c r="J40">
        <f>1-H40</f>
        <v>-9.15</v>
      </c>
      <c r="L40">
        <f>J38*J39</f>
        <v>65.39609999999999</v>
      </c>
    </row>
    <row r="41" spans="1:13" x14ac:dyDescent="0.25">
      <c r="D41" s="181"/>
      <c r="H41">
        <f>SUM(H38:H40)</f>
        <v>24.85</v>
      </c>
      <c r="J41">
        <v>1</v>
      </c>
      <c r="L41">
        <f>L40/J40</f>
        <v>-7.1471147540983591</v>
      </c>
    </row>
    <row r="42" spans="1:13" x14ac:dyDescent="0.25">
      <c r="A42" s="192"/>
      <c r="B42" s="182" t="s">
        <v>45</v>
      </c>
      <c r="C42" s="296" t="s">
        <v>59</v>
      </c>
      <c r="D42" s="296"/>
      <c r="E42" s="184"/>
      <c r="F42" s="184"/>
      <c r="J42">
        <v>100</v>
      </c>
    </row>
    <row r="43" spans="1:13" x14ac:dyDescent="0.25">
      <c r="A43" s="192"/>
      <c r="B43" s="182" t="s">
        <v>46</v>
      </c>
      <c r="C43" s="297" t="s">
        <v>60</v>
      </c>
      <c r="D43" s="297"/>
      <c r="E43" s="122"/>
      <c r="F43" s="122"/>
      <c r="H43">
        <f>(1+H38)*(1+H39)</f>
        <v>65.39609999999999</v>
      </c>
      <c r="L43">
        <f>L41-1</f>
        <v>-8.1471147540983591</v>
      </c>
    </row>
    <row r="44" spans="1:13" x14ac:dyDescent="0.25">
      <c r="H44">
        <f>((1-H40)-1)</f>
        <v>-10.15</v>
      </c>
    </row>
    <row r="45" spans="1:13" x14ac:dyDescent="0.25">
      <c r="H45">
        <f>(H43/H44)*100</f>
        <v>-644.29655172413777</v>
      </c>
      <c r="L45">
        <f>L43*100</f>
        <v>-814.71147540983588</v>
      </c>
    </row>
    <row r="50" spans="8:8" x14ac:dyDescent="0.25">
      <c r="H50">
        <f>((((1+6.32)*(1+9.52))/((1-7.65)-1))*100)</f>
        <v>-1006.6196078431371</v>
      </c>
    </row>
    <row r="54" spans="8:8" x14ac:dyDescent="0.25">
      <c r="H54">
        <f>(1+4+0.8+1.27)*(1+1.23)*(1+7.4)</f>
        <v>132.43523999999999</v>
      </c>
    </row>
    <row r="55" spans="8:8" x14ac:dyDescent="0.25">
      <c r="H55">
        <f>(1-10.15)</f>
        <v>-9.15</v>
      </c>
    </row>
    <row r="57" spans="8:8" x14ac:dyDescent="0.25">
      <c r="H57">
        <f>H54/H55</f>
        <v>-14.473796721311475</v>
      </c>
    </row>
    <row r="58" spans="8:8" x14ac:dyDescent="0.25">
      <c r="H58">
        <f>H57-1</f>
        <v>-15.473796721311475</v>
      </c>
    </row>
  </sheetData>
  <mergeCells count="11">
    <mergeCell ref="C42:D42"/>
    <mergeCell ref="C43:D43"/>
    <mergeCell ref="A8:D8"/>
    <mergeCell ref="B36:B38"/>
    <mergeCell ref="A1:D1"/>
    <mergeCell ref="A2:D2"/>
    <mergeCell ref="A3:D3"/>
    <mergeCell ref="A4:D4"/>
    <mergeCell ref="A6:D6"/>
    <mergeCell ref="A7:D7"/>
    <mergeCell ref="C29:C3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I46" sqref="I46"/>
    </sheetView>
  </sheetViews>
  <sheetFormatPr defaultRowHeight="15" x14ac:dyDescent="0.25"/>
  <cols>
    <col min="2" max="2" width="40.7109375" customWidth="1"/>
    <col min="3" max="6" width="16.7109375" customWidth="1"/>
  </cols>
  <sheetData>
    <row r="1" spans="1:6" ht="23.25" x14ac:dyDescent="0.35">
      <c r="A1" s="369" t="s">
        <v>22</v>
      </c>
      <c r="B1" s="369"/>
      <c r="C1" s="369"/>
      <c r="D1" s="369"/>
      <c r="E1" s="369"/>
      <c r="F1" s="369"/>
    </row>
    <row r="2" spans="1:6" x14ac:dyDescent="0.25">
      <c r="A2" s="370" t="s">
        <v>23</v>
      </c>
      <c r="B2" s="370"/>
      <c r="C2" s="370"/>
      <c r="D2" s="370"/>
      <c r="E2" s="370"/>
      <c r="F2" s="370"/>
    </row>
    <row r="3" spans="1:6" x14ac:dyDescent="0.25">
      <c r="A3" s="371" t="s">
        <v>24</v>
      </c>
      <c r="B3" s="371"/>
      <c r="C3" s="371"/>
      <c r="D3" s="371"/>
      <c r="E3" s="371"/>
      <c r="F3" s="371"/>
    </row>
    <row r="4" spans="1:6" x14ac:dyDescent="0.25">
      <c r="A4" s="372" t="s">
        <v>111</v>
      </c>
      <c r="B4" s="372"/>
      <c r="C4" s="372"/>
      <c r="D4" s="372"/>
      <c r="E4" s="372"/>
      <c r="F4" s="372"/>
    </row>
    <row r="5" spans="1:6" x14ac:dyDescent="0.25">
      <c r="A5" s="265"/>
      <c r="B5" s="265"/>
      <c r="C5" s="265"/>
      <c r="D5" s="265"/>
      <c r="E5" s="265"/>
      <c r="F5" s="265"/>
    </row>
    <row r="6" spans="1:6" x14ac:dyDescent="0.25">
      <c r="A6" s="394" t="s">
        <v>112</v>
      </c>
      <c r="B6" s="394"/>
      <c r="C6" s="394"/>
      <c r="D6" s="394"/>
      <c r="E6" s="394"/>
      <c r="F6" s="394"/>
    </row>
    <row r="7" spans="1:6" x14ac:dyDescent="0.25">
      <c r="A7" s="266"/>
      <c r="B7" s="266"/>
      <c r="C7" s="266"/>
      <c r="D7" s="266"/>
      <c r="E7" s="266"/>
      <c r="F7" s="266"/>
    </row>
    <row r="8" spans="1:6" x14ac:dyDescent="0.25">
      <c r="A8" s="251"/>
      <c r="B8" s="251"/>
      <c r="C8" s="251"/>
      <c r="D8" s="251"/>
      <c r="E8" s="251"/>
      <c r="F8" s="251"/>
    </row>
    <row r="9" spans="1:6" x14ac:dyDescent="0.25">
      <c r="A9" s="365" t="s">
        <v>113</v>
      </c>
      <c r="B9" s="365" t="s">
        <v>2</v>
      </c>
      <c r="C9" s="367" t="s">
        <v>114</v>
      </c>
      <c r="D9" s="368"/>
      <c r="E9" s="367" t="s">
        <v>115</v>
      </c>
      <c r="F9" s="368"/>
    </row>
    <row r="10" spans="1:6" x14ac:dyDescent="0.25">
      <c r="A10" s="366"/>
      <c r="B10" s="366"/>
      <c r="C10" s="10" t="s">
        <v>116</v>
      </c>
      <c r="D10" s="10" t="s">
        <v>117</v>
      </c>
      <c r="E10" s="10" t="s">
        <v>116</v>
      </c>
      <c r="F10" s="10" t="s">
        <v>117</v>
      </c>
    </row>
    <row r="11" spans="1:6" x14ac:dyDescent="0.25">
      <c r="A11" s="375" t="s">
        <v>118</v>
      </c>
      <c r="B11" s="376"/>
      <c r="C11" s="376"/>
      <c r="D11" s="376"/>
      <c r="E11" s="376"/>
      <c r="F11" s="377"/>
    </row>
    <row r="12" spans="1:6" x14ac:dyDescent="0.25">
      <c r="A12" s="10" t="s">
        <v>119</v>
      </c>
      <c r="B12" s="163" t="s">
        <v>120</v>
      </c>
      <c r="C12" s="164">
        <v>0</v>
      </c>
      <c r="D12" s="164">
        <v>0</v>
      </c>
      <c r="E12" s="164">
        <v>20</v>
      </c>
      <c r="F12" s="164">
        <v>20</v>
      </c>
    </row>
    <row r="13" spans="1:6" x14ac:dyDescent="0.25">
      <c r="A13" s="10" t="s">
        <v>121</v>
      </c>
      <c r="B13" s="163" t="s">
        <v>122</v>
      </c>
      <c r="C13" s="164">
        <v>1.5</v>
      </c>
      <c r="D13" s="164">
        <v>1.5</v>
      </c>
      <c r="E13" s="164">
        <v>1.5</v>
      </c>
      <c r="F13" s="164">
        <v>1.5</v>
      </c>
    </row>
    <row r="14" spans="1:6" x14ac:dyDescent="0.25">
      <c r="A14" s="10" t="s">
        <v>123</v>
      </c>
      <c r="B14" s="163" t="s">
        <v>124</v>
      </c>
      <c r="C14" s="164">
        <v>1</v>
      </c>
      <c r="D14" s="164">
        <v>1</v>
      </c>
      <c r="E14" s="164">
        <v>1</v>
      </c>
      <c r="F14" s="164">
        <v>1</v>
      </c>
    </row>
    <row r="15" spans="1:6" x14ac:dyDescent="0.25">
      <c r="A15" s="10" t="s">
        <v>125</v>
      </c>
      <c r="B15" s="163" t="s">
        <v>126</v>
      </c>
      <c r="C15" s="164">
        <v>0.2</v>
      </c>
      <c r="D15" s="164">
        <v>0.2</v>
      </c>
      <c r="E15" s="164">
        <v>0.2</v>
      </c>
      <c r="F15" s="164">
        <v>0.2</v>
      </c>
    </row>
    <row r="16" spans="1:6" x14ac:dyDescent="0.25">
      <c r="A16" s="10" t="s">
        <v>127</v>
      </c>
      <c r="B16" s="163" t="s">
        <v>128</v>
      </c>
      <c r="C16" s="164">
        <v>0.6</v>
      </c>
      <c r="D16" s="164">
        <v>0.6</v>
      </c>
      <c r="E16" s="164">
        <v>0.6</v>
      </c>
      <c r="F16" s="164">
        <v>0.6</v>
      </c>
    </row>
    <row r="17" spans="1:10" x14ac:dyDescent="0.25">
      <c r="A17" s="10" t="s">
        <v>129</v>
      </c>
      <c r="B17" s="163" t="s">
        <v>130</v>
      </c>
      <c r="C17" s="164">
        <v>2.5</v>
      </c>
      <c r="D17" s="164">
        <v>2.5</v>
      </c>
      <c r="E17" s="164">
        <v>2.5</v>
      </c>
      <c r="F17" s="164">
        <v>2.5</v>
      </c>
    </row>
    <row r="18" spans="1:10" x14ac:dyDescent="0.25">
      <c r="A18" s="10" t="s">
        <v>131</v>
      </c>
      <c r="B18" s="163" t="s">
        <v>132</v>
      </c>
      <c r="C18" s="164">
        <v>3</v>
      </c>
      <c r="D18" s="164">
        <v>3</v>
      </c>
      <c r="E18" s="164">
        <v>3</v>
      </c>
      <c r="F18" s="164">
        <v>3</v>
      </c>
    </row>
    <row r="19" spans="1:10" x14ac:dyDescent="0.25">
      <c r="A19" s="10" t="s">
        <v>133</v>
      </c>
      <c r="B19" s="163" t="s">
        <v>134</v>
      </c>
      <c r="C19" s="164">
        <v>8</v>
      </c>
      <c r="D19" s="164">
        <v>8</v>
      </c>
      <c r="E19" s="164">
        <v>8</v>
      </c>
      <c r="F19" s="164">
        <v>8</v>
      </c>
    </row>
    <row r="20" spans="1:10" x14ac:dyDescent="0.25">
      <c r="A20" s="10" t="s">
        <v>135</v>
      </c>
      <c r="B20" s="163" t="s">
        <v>136</v>
      </c>
      <c r="C20" s="164">
        <v>1</v>
      </c>
      <c r="D20" s="164">
        <v>1</v>
      </c>
      <c r="E20" s="164">
        <v>1</v>
      </c>
      <c r="F20" s="164">
        <v>1</v>
      </c>
    </row>
    <row r="21" spans="1:10" x14ac:dyDescent="0.25">
      <c r="A21" s="249" t="s">
        <v>137</v>
      </c>
      <c r="B21" s="249" t="s">
        <v>49</v>
      </c>
      <c r="C21" s="165">
        <f>SUM(C12:C20)</f>
        <v>17.8</v>
      </c>
      <c r="D21" s="165">
        <f>SUM(D12:D20)</f>
        <v>17.8</v>
      </c>
      <c r="E21" s="165">
        <f>SUM(E12:E20)</f>
        <v>37.799999999999997</v>
      </c>
      <c r="F21" s="165">
        <f>SUM(F12:F20)</f>
        <v>37.799999999999997</v>
      </c>
      <c r="J21" s="201">
        <f>C21/C52</f>
        <v>0.20554272517321018</v>
      </c>
    </row>
    <row r="22" spans="1:10" x14ac:dyDescent="0.25">
      <c r="A22" s="375" t="s">
        <v>138</v>
      </c>
      <c r="B22" s="376"/>
      <c r="C22" s="376"/>
      <c r="D22" s="376"/>
      <c r="E22" s="376"/>
      <c r="F22" s="377"/>
    </row>
    <row r="23" spans="1:10" x14ac:dyDescent="0.25">
      <c r="A23" s="10" t="s">
        <v>139</v>
      </c>
      <c r="B23" s="166" t="s">
        <v>140</v>
      </c>
      <c r="C23" s="164">
        <v>17.93</v>
      </c>
      <c r="D23" s="164">
        <v>0</v>
      </c>
      <c r="E23" s="164">
        <v>17.93</v>
      </c>
      <c r="F23" s="164">
        <v>0</v>
      </c>
    </row>
    <row r="24" spans="1:10" x14ac:dyDescent="0.25">
      <c r="A24" s="10" t="s">
        <v>141</v>
      </c>
      <c r="B24" s="166" t="s">
        <v>142</v>
      </c>
      <c r="C24" s="164">
        <v>4.01</v>
      </c>
      <c r="D24" s="164">
        <v>0</v>
      </c>
      <c r="E24" s="164">
        <v>4.01</v>
      </c>
      <c r="F24" s="164">
        <v>0</v>
      </c>
    </row>
    <row r="25" spans="1:10" x14ac:dyDescent="0.25">
      <c r="A25" s="10" t="s">
        <v>143</v>
      </c>
      <c r="B25" s="166" t="s">
        <v>144</v>
      </c>
      <c r="C25" s="164">
        <v>0.9</v>
      </c>
      <c r="D25" s="10">
        <v>0.69</v>
      </c>
      <c r="E25" s="164">
        <v>0.9</v>
      </c>
      <c r="F25" s="10">
        <v>0.69</v>
      </c>
    </row>
    <row r="26" spans="1:10" x14ac:dyDescent="0.25">
      <c r="A26" s="10" t="s">
        <v>145</v>
      </c>
      <c r="B26" s="166" t="s">
        <v>146</v>
      </c>
      <c r="C26" s="164">
        <v>10.76</v>
      </c>
      <c r="D26" s="10">
        <v>8.33</v>
      </c>
      <c r="E26" s="164">
        <v>10.76</v>
      </c>
      <c r="F26" s="10">
        <v>8.33</v>
      </c>
    </row>
    <row r="27" spans="1:10" x14ac:dyDescent="0.25">
      <c r="A27" s="10" t="s">
        <v>147</v>
      </c>
      <c r="B27" s="166" t="s">
        <v>148</v>
      </c>
      <c r="C27" s="164">
        <v>0.08</v>
      </c>
      <c r="D27" s="10">
        <v>0.06</v>
      </c>
      <c r="E27" s="164">
        <v>0.08</v>
      </c>
      <c r="F27" s="10">
        <v>0.06</v>
      </c>
    </row>
    <row r="28" spans="1:10" x14ac:dyDescent="0.25">
      <c r="A28" s="10" t="s">
        <v>149</v>
      </c>
      <c r="B28" s="166" t="s">
        <v>150</v>
      </c>
      <c r="C28" s="164">
        <v>0.72</v>
      </c>
      <c r="D28" s="10">
        <v>0.56000000000000005</v>
      </c>
      <c r="E28" s="164">
        <v>0.72</v>
      </c>
      <c r="F28" s="10">
        <v>0.56000000000000005</v>
      </c>
    </row>
    <row r="29" spans="1:10" x14ac:dyDescent="0.25">
      <c r="A29" s="10" t="s">
        <v>151</v>
      </c>
      <c r="B29" s="166" t="s">
        <v>152</v>
      </c>
      <c r="C29" s="164">
        <v>1.75</v>
      </c>
      <c r="D29" s="164">
        <v>0</v>
      </c>
      <c r="E29" s="164">
        <v>1.75</v>
      </c>
      <c r="F29" s="164">
        <v>0</v>
      </c>
    </row>
    <row r="30" spans="1:10" x14ac:dyDescent="0.25">
      <c r="A30" s="10" t="s">
        <v>153</v>
      </c>
      <c r="B30" s="166" t="s">
        <v>154</v>
      </c>
      <c r="C30" s="164">
        <v>0.12</v>
      </c>
      <c r="D30" s="10">
        <v>0.09</v>
      </c>
      <c r="E30" s="164">
        <v>0.12</v>
      </c>
      <c r="F30" s="10">
        <v>0.09</v>
      </c>
    </row>
    <row r="31" spans="1:10" x14ac:dyDescent="0.25">
      <c r="A31" s="10" t="s">
        <v>155</v>
      </c>
      <c r="B31" s="166" t="s">
        <v>156</v>
      </c>
      <c r="C31" s="164">
        <v>7.25</v>
      </c>
      <c r="D31" s="10">
        <v>4.8899999999999997</v>
      </c>
      <c r="E31" s="164">
        <v>7.25</v>
      </c>
      <c r="F31" s="10">
        <v>5.62</v>
      </c>
    </row>
    <row r="32" spans="1:10" x14ac:dyDescent="0.25">
      <c r="A32" s="10" t="s">
        <v>157</v>
      </c>
      <c r="B32" s="166" t="s">
        <v>158</v>
      </c>
      <c r="C32" s="164">
        <v>0.03</v>
      </c>
      <c r="D32" s="10">
        <v>0.02</v>
      </c>
      <c r="E32" s="164">
        <v>0.03</v>
      </c>
      <c r="F32" s="10">
        <v>0.02</v>
      </c>
    </row>
    <row r="33" spans="1:10" x14ac:dyDescent="0.25">
      <c r="A33" s="249" t="s">
        <v>159</v>
      </c>
      <c r="B33" s="249" t="s">
        <v>160</v>
      </c>
      <c r="C33" s="249">
        <f>SUM(C23:C32)</f>
        <v>43.54999999999999</v>
      </c>
      <c r="D33" s="249">
        <f>SUM(D23:D32)</f>
        <v>14.64</v>
      </c>
      <c r="E33" s="165">
        <f>SUM(E23:E32)</f>
        <v>43.54999999999999</v>
      </c>
      <c r="F33" s="165">
        <f>SUM(F23:F32)</f>
        <v>15.370000000000001</v>
      </c>
      <c r="J33" s="201">
        <f>C33/C52</f>
        <v>0.50288683602771356</v>
      </c>
    </row>
    <row r="34" spans="1:10" x14ac:dyDescent="0.25">
      <c r="A34" s="375" t="s">
        <v>161</v>
      </c>
      <c r="B34" s="376"/>
      <c r="C34" s="376"/>
      <c r="D34" s="376"/>
      <c r="E34" s="376"/>
      <c r="F34" s="377"/>
    </row>
    <row r="35" spans="1:10" x14ac:dyDescent="0.25">
      <c r="A35" s="10" t="s">
        <v>162</v>
      </c>
      <c r="B35" s="166" t="s">
        <v>163</v>
      </c>
      <c r="C35" s="10">
        <v>4.34</v>
      </c>
      <c r="D35" s="10">
        <v>3.26</v>
      </c>
      <c r="E35" s="10">
        <v>4.34</v>
      </c>
      <c r="F35" s="10">
        <v>3.36</v>
      </c>
    </row>
    <row r="36" spans="1:10" x14ac:dyDescent="0.25">
      <c r="A36" s="10" t="s">
        <v>164</v>
      </c>
      <c r="B36" s="166" t="s">
        <v>165</v>
      </c>
      <c r="C36" s="164">
        <v>0.1</v>
      </c>
      <c r="D36" s="10">
        <v>0.08</v>
      </c>
      <c r="E36" s="164">
        <v>0.1</v>
      </c>
      <c r="F36" s="10">
        <v>0.08</v>
      </c>
    </row>
    <row r="37" spans="1:10" x14ac:dyDescent="0.25">
      <c r="A37" s="10" t="s">
        <v>166</v>
      </c>
      <c r="B37" s="166" t="s">
        <v>167</v>
      </c>
      <c r="C37" s="10">
        <v>5.85</v>
      </c>
      <c r="D37" s="164">
        <v>3.59</v>
      </c>
      <c r="E37" s="10">
        <v>5.85</v>
      </c>
      <c r="F37" s="164">
        <v>4.53</v>
      </c>
    </row>
    <row r="38" spans="1:10" x14ac:dyDescent="0.25">
      <c r="A38" s="10" t="s">
        <v>168</v>
      </c>
      <c r="B38" s="166" t="s">
        <v>169</v>
      </c>
      <c r="C38" s="10">
        <v>4.68</v>
      </c>
      <c r="D38" s="164">
        <v>3.61</v>
      </c>
      <c r="E38" s="10">
        <v>4.68</v>
      </c>
      <c r="F38" s="164">
        <v>3.63</v>
      </c>
    </row>
    <row r="39" spans="1:10" x14ac:dyDescent="0.25">
      <c r="A39" s="10" t="s">
        <v>170</v>
      </c>
      <c r="B39" s="166" t="s">
        <v>171</v>
      </c>
      <c r="C39" s="10">
        <v>0.37</v>
      </c>
      <c r="D39" s="164">
        <v>0.28000000000000003</v>
      </c>
      <c r="E39" s="10">
        <v>0.37</v>
      </c>
      <c r="F39" s="164">
        <v>0.28000000000000003</v>
      </c>
    </row>
    <row r="40" spans="1:10" x14ac:dyDescent="0.25">
      <c r="A40" s="249" t="s">
        <v>172</v>
      </c>
      <c r="B40" s="249" t="s">
        <v>49</v>
      </c>
      <c r="C40" s="249">
        <f>SUM(C35:C39)</f>
        <v>15.339999999999998</v>
      </c>
      <c r="D40" s="249">
        <f>SUM(D35:D39)</f>
        <v>10.819999999999999</v>
      </c>
      <c r="E40" s="249">
        <f>SUM(E35:E39)</f>
        <v>15.339999999999998</v>
      </c>
      <c r="F40" s="249">
        <f>SUM(F35:F39)</f>
        <v>11.88</v>
      </c>
      <c r="J40" s="201">
        <f>C40/C52</f>
        <v>0.17713625866050808</v>
      </c>
    </row>
    <row r="41" spans="1:10" x14ac:dyDescent="0.25">
      <c r="A41" s="375" t="s">
        <v>173</v>
      </c>
      <c r="B41" s="376"/>
      <c r="C41" s="376"/>
      <c r="D41" s="376"/>
      <c r="E41" s="376"/>
      <c r="F41" s="377"/>
    </row>
    <row r="42" spans="1:10" x14ac:dyDescent="0.25">
      <c r="A42" s="10" t="s">
        <v>174</v>
      </c>
      <c r="B42" s="166" t="s">
        <v>175</v>
      </c>
      <c r="C42" s="10">
        <v>5.05</v>
      </c>
      <c r="D42" s="10">
        <v>1.1399999999999999</v>
      </c>
      <c r="E42" s="10">
        <v>16.46</v>
      </c>
      <c r="F42" s="10">
        <v>5.81</v>
      </c>
    </row>
    <row r="43" spans="1:10" ht="45" x14ac:dyDescent="0.25">
      <c r="A43" s="10" t="s">
        <v>176</v>
      </c>
      <c r="B43" s="167" t="s">
        <v>177</v>
      </c>
      <c r="C43" s="10">
        <v>0.37</v>
      </c>
      <c r="D43" s="10">
        <v>0.28000000000000003</v>
      </c>
      <c r="E43" s="10">
        <v>0.39</v>
      </c>
      <c r="F43" s="164">
        <v>0.3</v>
      </c>
    </row>
    <row r="44" spans="1:10" x14ac:dyDescent="0.25">
      <c r="A44" s="10" t="s">
        <v>178</v>
      </c>
      <c r="B44" s="249" t="s">
        <v>49</v>
      </c>
      <c r="C44" s="249">
        <f>SUM(C42:C43)</f>
        <v>5.42</v>
      </c>
      <c r="D44" s="249">
        <f>SUM(D42:D43)</f>
        <v>1.42</v>
      </c>
      <c r="E44" s="249">
        <f>SUM(E42:E43)</f>
        <v>16.850000000000001</v>
      </c>
      <c r="F44" s="249">
        <f>SUM(F42:F43)</f>
        <v>6.1099999999999994</v>
      </c>
      <c r="J44" s="201">
        <f>C44/C52</f>
        <v>6.2586605080831414E-2</v>
      </c>
    </row>
    <row r="45" spans="1:10" x14ac:dyDescent="0.25">
      <c r="A45" s="395" t="s">
        <v>399</v>
      </c>
      <c r="B45" s="396"/>
      <c r="C45" s="396"/>
      <c r="D45" s="396"/>
      <c r="E45" s="396"/>
      <c r="F45" s="397"/>
    </row>
    <row r="46" spans="1:10" x14ac:dyDescent="0.25">
      <c r="A46" s="267" t="s">
        <v>400</v>
      </c>
      <c r="B46" s="268" t="s">
        <v>401</v>
      </c>
      <c r="C46" s="269">
        <v>0.82</v>
      </c>
      <c r="D46" s="269">
        <v>0.82</v>
      </c>
      <c r="E46" s="269">
        <v>0.82</v>
      </c>
      <c r="F46" s="269">
        <v>0.82</v>
      </c>
    </row>
    <row r="47" spans="1:10" x14ac:dyDescent="0.25">
      <c r="A47" s="267" t="s">
        <v>402</v>
      </c>
      <c r="B47" s="268" t="s">
        <v>403</v>
      </c>
      <c r="C47" s="269">
        <v>2.62</v>
      </c>
      <c r="D47" s="269">
        <v>2.62</v>
      </c>
      <c r="E47" s="269">
        <v>2.62</v>
      </c>
      <c r="F47" s="269">
        <v>2.62</v>
      </c>
    </row>
    <row r="48" spans="1:10" x14ac:dyDescent="0.25">
      <c r="A48" s="267" t="s">
        <v>404</v>
      </c>
      <c r="B48" s="268" t="s">
        <v>405</v>
      </c>
      <c r="C48" s="269">
        <v>7.0000000000000007E-2</v>
      </c>
      <c r="D48" s="269">
        <v>7.0000000000000007E-2</v>
      </c>
      <c r="E48" s="269">
        <v>7.0000000000000007E-2</v>
      </c>
      <c r="F48" s="269">
        <v>7.0000000000000007E-2</v>
      </c>
    </row>
    <row r="49" spans="1:10" x14ac:dyDescent="0.25">
      <c r="A49" s="267" t="s">
        <v>406</v>
      </c>
      <c r="B49" s="268" t="s">
        <v>407</v>
      </c>
      <c r="C49" s="269">
        <v>0.81</v>
      </c>
      <c r="D49" s="269">
        <v>0.98</v>
      </c>
      <c r="E49" s="269">
        <v>0.98</v>
      </c>
      <c r="F49" s="269">
        <v>0.98</v>
      </c>
    </row>
    <row r="50" spans="1:10" x14ac:dyDescent="0.25">
      <c r="A50" s="267" t="s">
        <v>414</v>
      </c>
      <c r="B50" s="272" t="s">
        <v>415</v>
      </c>
      <c r="C50" s="269">
        <v>0.17</v>
      </c>
      <c r="D50" s="269"/>
      <c r="E50" s="269"/>
      <c r="F50" s="269"/>
    </row>
    <row r="51" spans="1:10" x14ac:dyDescent="0.25">
      <c r="A51" s="270" t="s">
        <v>408</v>
      </c>
      <c r="B51" s="271" t="s">
        <v>409</v>
      </c>
      <c r="C51" s="165">
        <f>SUM(C46:C50)</f>
        <v>4.49</v>
      </c>
      <c r="D51" s="269">
        <f>SUM(D46:D49)</f>
        <v>4.49</v>
      </c>
      <c r="E51" s="269">
        <f>SUM(E46:E49)</f>
        <v>4.49</v>
      </c>
      <c r="F51" s="269">
        <f>SUM(F46:F49)</f>
        <v>4.49</v>
      </c>
      <c r="J51" s="201">
        <f>C51/C52</f>
        <v>5.1847575057736725E-2</v>
      </c>
    </row>
    <row r="52" spans="1:10" x14ac:dyDescent="0.25">
      <c r="A52" s="378" t="s">
        <v>412</v>
      </c>
      <c r="B52" s="379"/>
      <c r="C52" s="168">
        <f>SUM(C21,C33,C40,C44,C51)</f>
        <v>86.6</v>
      </c>
      <c r="D52" s="168">
        <f>SUM(D21,D33,D40,D44,D51)</f>
        <v>49.17</v>
      </c>
      <c r="E52" s="168">
        <f>SUM(E21,E33,E40,E44,E51)</f>
        <v>118.02999999999999</v>
      </c>
      <c r="F52" s="168">
        <f>SUM(F21,F33,F40,F44,F51)</f>
        <v>75.649999999999991</v>
      </c>
      <c r="J52" s="183">
        <f>SUM(J33,J40,J44,J51)</f>
        <v>0.79445727482678974</v>
      </c>
    </row>
    <row r="53" spans="1:10" x14ac:dyDescent="0.25">
      <c r="A53" s="265"/>
      <c r="B53" s="265"/>
      <c r="C53" s="265"/>
      <c r="D53" s="265"/>
      <c r="E53" s="265"/>
      <c r="F53" s="265"/>
    </row>
    <row r="54" spans="1:10" x14ac:dyDescent="0.25">
      <c r="A54" s="265"/>
      <c r="B54" s="265"/>
      <c r="C54" s="265"/>
      <c r="D54" s="265"/>
      <c r="E54" s="265"/>
      <c r="F54" s="265"/>
    </row>
    <row r="55" spans="1:10" x14ac:dyDescent="0.25">
      <c r="A55" s="265"/>
      <c r="B55" s="265"/>
      <c r="C55" s="265"/>
      <c r="D55" s="265"/>
      <c r="E55" s="265"/>
      <c r="F55" s="265"/>
    </row>
    <row r="56" spans="1:10" x14ac:dyDescent="0.25">
      <c r="A56" s="265"/>
      <c r="B56" s="169" t="s">
        <v>45</v>
      </c>
      <c r="C56" s="265"/>
      <c r="D56" s="380" t="s">
        <v>410</v>
      </c>
      <c r="E56" s="380"/>
      <c r="F56" s="380"/>
    </row>
    <row r="57" spans="1:10" x14ac:dyDescent="0.25">
      <c r="A57" s="265"/>
      <c r="B57" s="169" t="s">
        <v>46</v>
      </c>
      <c r="C57" s="265"/>
      <c r="D57" s="374" t="s">
        <v>411</v>
      </c>
      <c r="E57" s="374"/>
      <c r="F57" s="374"/>
    </row>
  </sheetData>
  <mergeCells count="17">
    <mergeCell ref="D56:F56"/>
    <mergeCell ref="D57:F57"/>
    <mergeCell ref="A11:F11"/>
    <mergeCell ref="A22:F22"/>
    <mergeCell ref="A34:F34"/>
    <mergeCell ref="A41:F41"/>
    <mergeCell ref="A45:F45"/>
    <mergeCell ref="A52:B52"/>
    <mergeCell ref="A9:A10"/>
    <mergeCell ref="B9:B10"/>
    <mergeCell ref="C9:D9"/>
    <mergeCell ref="E9:F9"/>
    <mergeCell ref="A1:F1"/>
    <mergeCell ref="A2:F2"/>
    <mergeCell ref="A3:F3"/>
    <mergeCell ref="A4:F4"/>
    <mergeCell ref="A6:F6"/>
  </mergeCells>
  <pageMargins left="0.511811024" right="0.511811024" top="0.78740157499999996" bottom="0.78740157499999996" header="0.31496062000000002" footer="0.31496062000000002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8</vt:i4>
      </vt:variant>
    </vt:vector>
  </HeadingPairs>
  <TitlesOfParts>
    <vt:vector size="14" baseType="lpstr">
      <vt:lpstr>ORÇ</vt:lpstr>
      <vt:lpstr> CCU </vt:lpstr>
      <vt:lpstr>CRON</vt:lpstr>
      <vt:lpstr>LS</vt:lpstr>
      <vt:lpstr>BDI</vt:lpstr>
      <vt:lpstr>ES</vt:lpstr>
      <vt:lpstr>' CCU '!Area_de_impressao</vt:lpstr>
      <vt:lpstr>BDI!Area_de_impressao</vt:lpstr>
      <vt:lpstr>CRON!Area_de_impressao</vt:lpstr>
      <vt:lpstr>ES!Area_de_impressao</vt:lpstr>
      <vt:lpstr>LS!Area_de_impressao</vt:lpstr>
      <vt:lpstr>ORÇ!Area_de_impressao</vt:lpstr>
      <vt:lpstr>' CCU '!Titulos_de_impressao</vt:lpstr>
      <vt:lpstr>ORÇ!Titulos_de_impressao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Luiz Gabriel Martins Correia</cp:lastModifiedBy>
  <cp:lastPrinted>2016-09-29T00:18:36Z</cp:lastPrinted>
  <dcterms:created xsi:type="dcterms:W3CDTF">2015-12-21T22:41:58Z</dcterms:created>
  <dcterms:modified xsi:type="dcterms:W3CDTF">2016-09-30T15:25:06Z</dcterms:modified>
</cp:coreProperties>
</file>