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3995" windowHeight="11700" tabRatio="825"/>
  </bookViews>
  <sheets>
    <sheet name="RESUMO GERAL" sheetId="1" r:id="rId1"/>
    <sheet name="1.OPERÁRIO RURAL - MAT." sheetId="4" r:id="rId2"/>
    <sheet name="2. ROÇADOR - MAT." sheetId="11" r:id="rId3"/>
    <sheet name="3. PCUST_OPER RURAL" sheetId="7" r:id="rId4"/>
    <sheet name="4. PCUST_ROÇADOR" sheetId="13" r:id="rId5"/>
    <sheet name="Beneficios" sheetId="8" r:id="rId6"/>
    <sheet name="Calc. módulo 4" sheetId="9" r:id="rId7"/>
  </sheets>
  <calcPr calcId="145621"/>
</workbook>
</file>

<file path=xl/calcChain.xml><?xml version="1.0" encoding="utf-8"?>
<calcChain xmlns="http://schemas.openxmlformats.org/spreadsheetml/2006/main">
  <c r="G8" i="1" l="1"/>
  <c r="F25" i="4"/>
  <c r="D104" i="13"/>
  <c r="D97" i="13"/>
  <c r="D42" i="13"/>
  <c r="D20" i="13"/>
  <c r="H33" i="11"/>
  <c r="G33" i="11"/>
  <c r="L32" i="11"/>
  <c r="I32" i="11"/>
  <c r="J32" i="11" s="1"/>
  <c r="K32" i="11" s="1"/>
  <c r="L31" i="11"/>
  <c r="I31" i="11"/>
  <c r="J31" i="11" s="1"/>
  <c r="K31" i="11" s="1"/>
  <c r="L30" i="11"/>
  <c r="I30" i="11"/>
  <c r="I33" i="11" s="1"/>
  <c r="G24" i="11"/>
  <c r="H24" i="11" s="1"/>
  <c r="G23" i="11"/>
  <c r="H23" i="11" s="1"/>
  <c r="G22" i="11"/>
  <c r="H22" i="11" s="1"/>
  <c r="G21" i="11"/>
  <c r="H21" i="11" s="1"/>
  <c r="G20" i="11"/>
  <c r="H20" i="11" s="1"/>
  <c r="G19" i="11"/>
  <c r="H19" i="11" s="1"/>
  <c r="G18" i="11"/>
  <c r="H18" i="11" s="1"/>
  <c r="G17" i="11"/>
  <c r="H17" i="11" s="1"/>
  <c r="G16" i="11"/>
  <c r="H16" i="11" s="1"/>
  <c r="G10" i="11"/>
  <c r="H10" i="11" s="1"/>
  <c r="G9" i="11"/>
  <c r="H9" i="11" s="1"/>
  <c r="G8" i="11"/>
  <c r="H8" i="11" s="1"/>
  <c r="G7" i="11"/>
  <c r="H7" i="11" s="1"/>
  <c r="G6" i="11"/>
  <c r="H6" i="11" s="1"/>
  <c r="G5" i="11"/>
  <c r="H5" i="11" s="1"/>
  <c r="D133" i="13" l="1"/>
  <c r="L33" i="11"/>
  <c r="D27" i="13"/>
  <c r="D28" i="13" s="1"/>
  <c r="D84" i="13"/>
  <c r="D90" i="13" s="1"/>
  <c r="D103" i="13" s="1"/>
  <c r="D105" i="13" s="1"/>
  <c r="D136" i="13" s="1"/>
  <c r="H11" i="11"/>
  <c r="D111" i="13" s="1"/>
  <c r="M32" i="11"/>
  <c r="M31" i="11"/>
  <c r="H25" i="11"/>
  <c r="D112" i="13" s="1"/>
  <c r="G11" i="11"/>
  <c r="G25" i="11"/>
  <c r="J30" i="11"/>
  <c r="J33" i="11" s="1"/>
  <c r="F8" i="1"/>
  <c r="D29" i="13" l="1"/>
  <c r="K30" i="11"/>
  <c r="M30" i="11" s="1"/>
  <c r="M33" i="11" s="1"/>
  <c r="M34" i="11" s="1"/>
  <c r="D114" i="13" s="1"/>
  <c r="K33" i="11"/>
  <c r="E39" i="13" l="1"/>
  <c r="E36" i="13"/>
  <c r="E34" i="13"/>
  <c r="E41" i="13"/>
  <c r="D68" i="13" s="1"/>
  <c r="D69" i="13" s="1"/>
  <c r="D70" i="13" s="1"/>
  <c r="E35" i="13"/>
  <c r="E37" i="13"/>
  <c r="E38" i="13"/>
  <c r="D59" i="13"/>
  <c r="E40" i="13"/>
  <c r="F14" i="8"/>
  <c r="H14" i="8" s="1"/>
  <c r="D51" i="13" s="1"/>
  <c r="D51" i="7" l="1"/>
  <c r="E42" i="13"/>
  <c r="D71" i="13" s="1"/>
  <c r="G25" i="4"/>
  <c r="H25" i="4" s="1"/>
  <c r="G24" i="4"/>
  <c r="H24" i="4" s="1"/>
  <c r="D60" i="13" l="1"/>
  <c r="H34" i="4"/>
  <c r="I34" i="4" s="1"/>
  <c r="H35" i="4"/>
  <c r="I35" i="4" s="1"/>
  <c r="H36" i="4"/>
  <c r="I36" i="4" s="1"/>
  <c r="H37" i="4"/>
  <c r="I37" i="4" s="1"/>
  <c r="H38" i="4"/>
  <c r="I38" i="4" s="1"/>
  <c r="H39" i="4"/>
  <c r="I39" i="4" s="1"/>
  <c r="H40" i="4"/>
  <c r="I40" i="4" s="1"/>
  <c r="H41" i="4"/>
  <c r="I41" i="4" s="1"/>
  <c r="H42" i="4"/>
  <c r="I42" i="4" s="1"/>
  <c r="H43" i="4"/>
  <c r="I43" i="4" s="1"/>
  <c r="H45" i="4"/>
  <c r="I45" i="4" s="1"/>
  <c r="H46" i="4"/>
  <c r="I46" i="4" s="1"/>
  <c r="H47" i="4"/>
  <c r="I47" i="4" s="1"/>
  <c r="H48" i="4"/>
  <c r="I48" i="4" s="1"/>
  <c r="H49" i="4"/>
  <c r="I49" i="4" s="1"/>
  <c r="H50" i="4"/>
  <c r="I50" i="4" s="1"/>
  <c r="H51" i="4"/>
  <c r="I51" i="4" s="1"/>
  <c r="H52" i="4"/>
  <c r="I52" i="4" s="1"/>
  <c r="H53" i="4"/>
  <c r="I53" i="4" s="1"/>
  <c r="H54" i="4"/>
  <c r="I54" i="4" s="1"/>
  <c r="H55" i="4"/>
  <c r="I55" i="4" s="1"/>
  <c r="H56" i="4"/>
  <c r="I56" i="4" s="1"/>
  <c r="H33" i="4"/>
  <c r="I33" i="4" s="1"/>
  <c r="D72" i="13" l="1"/>
  <c r="D73" i="13"/>
  <c r="D74" i="13" s="1"/>
  <c r="D135" i="13" s="1"/>
  <c r="D42" i="7"/>
  <c r="G34" i="4" l="1"/>
  <c r="G35" i="4"/>
  <c r="G36" i="4"/>
  <c r="G37" i="4"/>
  <c r="G38" i="4"/>
  <c r="G39" i="4"/>
  <c r="G40" i="4"/>
  <c r="G41" i="4"/>
  <c r="G42" i="4"/>
  <c r="G43" i="4"/>
  <c r="G45" i="4"/>
  <c r="G46" i="4"/>
  <c r="G47" i="4"/>
  <c r="G48" i="4"/>
  <c r="G49" i="4"/>
  <c r="G50" i="4"/>
  <c r="G51" i="4"/>
  <c r="G52" i="4"/>
  <c r="G53" i="4"/>
  <c r="G54" i="4"/>
  <c r="G55" i="4"/>
  <c r="G56" i="4"/>
  <c r="G33" i="4"/>
  <c r="F42" i="9"/>
  <c r="H42" i="9" s="1"/>
  <c r="F20" i="9"/>
  <c r="H20" i="9" s="1"/>
  <c r="F18" i="8"/>
  <c r="H18" i="8" s="1"/>
  <c r="F10" i="8"/>
  <c r="F9" i="8"/>
  <c r="F5" i="8"/>
  <c r="G5" i="8" s="1"/>
  <c r="F4" i="8"/>
  <c r="G4" i="8"/>
  <c r="D97" i="7"/>
  <c r="D104" i="7" s="1"/>
  <c r="D20" i="7"/>
  <c r="F44" i="4"/>
  <c r="G23" i="4"/>
  <c r="H23" i="4" s="1"/>
  <c r="G21" i="4"/>
  <c r="H21" i="4" s="1"/>
  <c r="G20" i="4"/>
  <c r="H20" i="4" s="1"/>
  <c r="G19" i="4"/>
  <c r="H19" i="4" s="1"/>
  <c r="G18" i="4"/>
  <c r="H18" i="4" s="1"/>
  <c r="G17" i="4"/>
  <c r="H17" i="4" s="1"/>
  <c r="G16" i="4"/>
  <c r="G22" i="4"/>
  <c r="H22" i="4" s="1"/>
  <c r="G10" i="4"/>
  <c r="H10" i="4" s="1"/>
  <c r="G9" i="4"/>
  <c r="H9" i="4" s="1"/>
  <c r="G8" i="4"/>
  <c r="H8" i="4" s="1"/>
  <c r="G7" i="4"/>
  <c r="H7" i="4" s="1"/>
  <c r="G6" i="4"/>
  <c r="H6" i="4" s="1"/>
  <c r="G5" i="4"/>
  <c r="H5" i="4" s="1"/>
  <c r="H9" i="8" l="1"/>
  <c r="D49" i="13" s="1"/>
  <c r="G26" i="4"/>
  <c r="D133" i="7"/>
  <c r="D27" i="7"/>
  <c r="G44" i="4"/>
  <c r="G57" i="4" s="1"/>
  <c r="H44" i="4"/>
  <c r="I44" i="4" s="1"/>
  <c r="H16" i="4"/>
  <c r="H5" i="8"/>
  <c r="D48" i="13" s="1"/>
  <c r="H4" i="8"/>
  <c r="D48" i="7" s="1"/>
  <c r="D53" i="7" s="1"/>
  <c r="D61" i="7" s="1"/>
  <c r="I57" i="4"/>
  <c r="I12" i="1" s="1"/>
  <c r="G9" i="8"/>
  <c r="G10" i="8"/>
  <c r="H10" i="8" s="1"/>
  <c r="D49" i="7" s="1"/>
  <c r="D84" i="7"/>
  <c r="H11" i="4"/>
  <c r="G11" i="4"/>
  <c r="D53" i="13" l="1"/>
  <c r="D62" i="13" s="1"/>
  <c r="D134" i="13" s="1"/>
  <c r="D90" i="7"/>
  <c r="D103" i="7" s="1"/>
  <c r="D105" i="7" s="1"/>
  <c r="D136" i="7" s="1"/>
  <c r="D111" i="7"/>
  <c r="H26" i="4"/>
  <c r="J12" i="1"/>
  <c r="J13" i="1" s="1"/>
  <c r="J14" i="1" s="1"/>
  <c r="D28" i="7"/>
  <c r="D29" i="7" s="1"/>
  <c r="D112" i="7" l="1"/>
  <c r="D115" i="13"/>
  <c r="J15" i="1"/>
  <c r="J16" i="1" s="1"/>
  <c r="J17" i="1" s="1"/>
  <c r="J22" i="1" s="1"/>
  <c r="I13" i="1"/>
  <c r="I14" i="1" s="1"/>
  <c r="I15" i="1" s="1"/>
  <c r="D115" i="7"/>
  <c r="D137" i="7" s="1"/>
  <c r="E41" i="7"/>
  <c r="D68" i="7" s="1"/>
  <c r="E37" i="7"/>
  <c r="D59" i="7"/>
  <c r="E34" i="7"/>
  <c r="E39" i="7"/>
  <c r="E36" i="7"/>
  <c r="E38" i="7"/>
  <c r="E40" i="7"/>
  <c r="E35" i="7"/>
  <c r="D137" i="13" l="1"/>
  <c r="D138" i="13" s="1"/>
  <c r="E121" i="13"/>
  <c r="E122" i="13" s="1"/>
  <c r="I16" i="1"/>
  <c r="I17" i="1" s="1"/>
  <c r="I22" i="1" s="1"/>
  <c r="E42" i="7"/>
  <c r="D71" i="7" s="1"/>
  <c r="D69" i="7"/>
  <c r="D70" i="7" s="1"/>
  <c r="D72" i="7" l="1"/>
  <c r="D73" i="7"/>
  <c r="D140" i="13"/>
  <c r="D60" i="7"/>
  <c r="D62" i="7" s="1"/>
  <c r="D134" i="7" s="1"/>
  <c r="D141" i="13" l="1"/>
  <c r="E126" i="13"/>
  <c r="E124" i="13"/>
  <c r="E127" i="13" l="1"/>
  <c r="D139" i="13" s="1"/>
  <c r="H7" i="1"/>
  <c r="I7" i="1" s="1"/>
  <c r="J7" i="1" s="1"/>
  <c r="B5" i="9"/>
  <c r="G9" i="9" s="1"/>
  <c r="D74" i="7"/>
  <c r="D135" i="7"/>
  <c r="D138" i="7" s="1"/>
  <c r="E121" i="7"/>
  <c r="E122" i="7" s="1"/>
  <c r="G12" i="9" l="1"/>
  <c r="H12" i="9" s="1"/>
  <c r="G17" i="9"/>
  <c r="H17" i="9" s="1"/>
  <c r="I22" i="9" s="1"/>
  <c r="G18" i="9"/>
  <c r="H18" i="9" s="1"/>
  <c r="I23" i="9" s="1"/>
  <c r="G14" i="9"/>
  <c r="H14" i="9" s="1"/>
  <c r="G15" i="9"/>
  <c r="H15" i="9" s="1"/>
  <c r="G16" i="9"/>
  <c r="H16" i="9" s="1"/>
  <c r="G10" i="9"/>
  <c r="H10" i="9" s="1"/>
  <c r="I21" i="9" s="1"/>
  <c r="G13" i="9"/>
  <c r="H13" i="9" s="1"/>
  <c r="H9" i="9"/>
  <c r="G19" i="9"/>
  <c r="H19" i="9" s="1"/>
  <c r="G11" i="9"/>
  <c r="H11" i="9" s="1"/>
  <c r="D140" i="7"/>
  <c r="B27" i="9" s="1"/>
  <c r="I20" i="9" l="1"/>
  <c r="L31" i="9"/>
  <c r="G31" i="9"/>
  <c r="D141" i="7"/>
  <c r="H6" i="1" s="1"/>
  <c r="E126" i="7"/>
  <c r="E124" i="7"/>
  <c r="G39" i="9" l="1"/>
  <c r="H39" i="9" s="1"/>
  <c r="I44" i="9" s="1"/>
  <c r="G36" i="9"/>
  <c r="H36" i="9" s="1"/>
  <c r="G41" i="9"/>
  <c r="H41" i="9" s="1"/>
  <c r="G34" i="9"/>
  <c r="H34" i="9" s="1"/>
  <c r="G40" i="9"/>
  <c r="H40" i="9" s="1"/>
  <c r="I45" i="9" s="1"/>
  <c r="G32" i="9"/>
  <c r="H32" i="9" s="1"/>
  <c r="I43" i="9" s="1"/>
  <c r="H31" i="9"/>
  <c r="G37" i="9"/>
  <c r="H37" i="9" s="1"/>
  <c r="G35" i="9"/>
  <c r="H35" i="9" s="1"/>
  <c r="G33" i="9"/>
  <c r="H33" i="9" s="1"/>
  <c r="G38" i="9"/>
  <c r="H38" i="9" s="1"/>
  <c r="I6" i="1"/>
  <c r="E127" i="7"/>
  <c r="D139" i="7" s="1"/>
  <c r="I42" i="9" l="1"/>
  <c r="J6" i="1"/>
  <c r="J8" i="1" s="1"/>
  <c r="I8" i="1"/>
  <c r="I21" i="1" l="1"/>
  <c r="I23" i="1" s="1"/>
  <c r="J21" i="1"/>
  <c r="J23" i="1" s="1"/>
</calcChain>
</file>

<file path=xl/comments1.xml><?xml version="1.0" encoding="utf-8"?>
<comments xmlns="http://schemas.openxmlformats.org/spreadsheetml/2006/main">
  <authors>
    <author>Persilenne Mc Comb Celucio Marques</author>
  </authors>
  <commentList>
    <comment ref="F25" authorId="0">
      <text>
        <r>
          <rPr>
            <b/>
            <sz val="9"/>
            <color indexed="81"/>
            <rFont val="Tahoma"/>
            <family val="2"/>
          </rPr>
          <t>Apenas 6 operadores utilizarão esta capa.</t>
        </r>
        <r>
          <rPr>
            <sz val="9"/>
            <color indexed="81"/>
            <rFont val="Tahoma"/>
            <family val="2"/>
          </rPr>
          <t xml:space="preserve">
</t>
        </r>
      </text>
    </comment>
  </commentList>
</comments>
</file>

<file path=xl/comments2.xml><?xml version="1.0" encoding="utf-8"?>
<comments xmlns="http://schemas.openxmlformats.org/spreadsheetml/2006/main">
  <authors>
    <author>Usuario</author>
  </authors>
  <commentList>
    <comment ref="C71" authorId="0">
      <text>
        <r>
          <rPr>
            <sz val="9"/>
            <color indexed="81"/>
            <rFont val="Tahoma"/>
            <family val="2"/>
          </rPr>
          <t xml:space="preserve">Art. 488 - O horário normal de trabalho do empregado, durante o prazo do aviso, e se a rescisão tiver sido promovida pelo empregador, será reduzido de 2 (duas) horas diárias, sem prejuízo do salário integral.
Parágrafo único - É facultado ao empregado trabalhar sem a redução das 2 (duas) horas diárias previstas neste artigo, caso em que poderá faltar ao serviço, sem prejuízo do salário integral, por 1 (um) dia, na hipótese do inciso l, e por 7 (sete) dias corridos, na hipótese do inciso lI do art. 487 desta Consolidação. (Incluído pela Lei nº 7.093, de 25.4.1983)
</t>
        </r>
      </text>
    </comment>
  </commentList>
</comments>
</file>

<file path=xl/comments3.xml><?xml version="1.0" encoding="utf-8"?>
<comments xmlns="http://schemas.openxmlformats.org/spreadsheetml/2006/main">
  <authors>
    <author>Usuario</author>
  </authors>
  <commentList>
    <comment ref="C71" authorId="0">
      <text>
        <r>
          <rPr>
            <sz val="9"/>
            <color indexed="81"/>
            <rFont val="Tahoma"/>
            <family val="2"/>
          </rPr>
          <t xml:space="preserve">Art. 488 - O horário normal de trabalho do empregado, durante o prazo do aviso, e se a rescisão tiver sido promovida pelo empregador, será reduzido de 2 (duas) horas diárias, sem prejuízo do salário integral.
Parágrafo único - É facultado ao empregado trabalhar sem a redução das 2 (duas) horas diárias previstas neste artigo, caso em que poderá faltar ao serviço, sem prejuízo do salário integral, por 1 (um) dia, na hipótese do inciso l, e por 7 (sete) dias corridos, na hipótese do inciso lI do art. 487 desta Consolidação. (Incluído pela Lei nº 7.093, de 25.4.1983)
</t>
        </r>
      </text>
    </comment>
  </commentList>
</comments>
</file>

<file path=xl/comments4.xml><?xml version="1.0" encoding="utf-8"?>
<comments xmlns="http://schemas.openxmlformats.org/spreadsheetml/2006/main">
  <authors>
    <author>Anderson Carlos Lima Bentes</author>
  </authors>
  <commentList>
    <comment ref="G3" authorId="0">
      <text>
        <r>
          <rPr>
            <b/>
            <sz val="9"/>
            <color indexed="81"/>
            <rFont val="Tahoma"/>
            <family val="2"/>
          </rPr>
          <t>Anderson Carlos Lima Bentes:</t>
        </r>
        <r>
          <rPr>
            <sz val="9"/>
            <color indexed="81"/>
            <rFont val="Tahoma"/>
            <family val="2"/>
          </rPr>
          <t xml:space="preserve">
Em caso do funcionário trabalhar em escala 12/36 este receberá metade dos vales transportes, logo o desconto será proporcional ou seja 3%.
</t>
        </r>
      </text>
    </comment>
    <comment ref="B7" authorId="0">
      <text>
        <r>
          <rPr>
            <b/>
            <sz val="9"/>
            <color indexed="81"/>
            <rFont val="Tahoma"/>
            <family val="2"/>
          </rPr>
          <t>Anderson Carlos Lima Bentes: A clt permite descontar até 20 por cento, todavia deve-se observar o valor da cct. Em caso de omissão da cct considerar clt.</t>
        </r>
      </text>
    </comment>
  </commentList>
</comments>
</file>

<file path=xl/sharedStrings.xml><?xml version="1.0" encoding="utf-8"?>
<sst xmlns="http://schemas.openxmlformats.org/spreadsheetml/2006/main" count="634" uniqueCount="252">
  <si>
    <t>GRU-
PO</t>
  </si>
  <si>
    <t>ITEM</t>
  </si>
  <si>
    <t>TIPO DE POSTO</t>
  </si>
  <si>
    <t>QTDE. POSTOS</t>
  </si>
  <si>
    <t>QTDE DE PESSOAS</t>
  </si>
  <si>
    <t>VLR POR POSTO R$</t>
  </si>
  <si>
    <t>VLR MENSAL R$</t>
  </si>
  <si>
    <t>OPERÁRIO RURAL (CBO 6210-05)</t>
  </si>
  <si>
    <t>MATERIAL</t>
  </si>
  <si>
    <t>%</t>
  </si>
  <si>
    <t>MENSAL</t>
  </si>
  <si>
    <t>CUSTO DO MATERIAL - SERVIÇOS AGROPECUÁRIOS</t>
  </si>
  <si>
    <t>CUSTO TOTAL DO MATERIAL</t>
  </si>
  <si>
    <t>CUSTOS INDIRETOS</t>
  </si>
  <si>
    <t>LUCRO</t>
  </si>
  <si>
    <t>TOTAL</t>
  </si>
  <si>
    <t>RESUMO GERAL</t>
  </si>
  <si>
    <t>1. SERVIÇOS</t>
  </si>
  <si>
    <t>2. MATERIAIS</t>
  </si>
  <si>
    <t>DESCRIÇÃO</t>
  </si>
  <si>
    <t>UNIDADE</t>
  </si>
  <si>
    <t>QTDE.
ANUAL</t>
  </si>
  <si>
    <t>CUSTO ANUAL
POR POSTO (R$)</t>
  </si>
  <si>
    <t>CUSTO MENSAL
POR POSTO (R$)</t>
  </si>
  <si>
    <t>PAR</t>
  </si>
  <si>
    <t>Chapéu tipo pescador com protetor de pescoço</t>
  </si>
  <si>
    <t>TOTAL - R$</t>
  </si>
  <si>
    <t xml:space="preserve">Crachá de identificação com Foto ,em PVC, com presilha jacaré. </t>
  </si>
  <si>
    <t>CÓD.
RECEITA
FEDERAL</t>
  </si>
  <si>
    <t>VIDA ÚTIL
(ANOS)</t>
  </si>
  <si>
    <t>TX ANUAL
DEPRECIAÇÃO</t>
  </si>
  <si>
    <t>PREÇO MÉDIO
UNIT. (R$)</t>
  </si>
  <si>
    <t>QUANT.</t>
  </si>
  <si>
    <t>VALOR
RESIDUAL</t>
  </si>
  <si>
    <t>VLR. DEPREC.
ANUAL R$</t>
  </si>
  <si>
    <t>VLR. DEPREC.
MENSAL R$</t>
  </si>
  <si>
    <t>TX MENSAL DE MANUTENÇÃO
MENSAL R$
(0,72 % a.m)</t>
  </si>
  <si>
    <t>VLR. TOTAL MENSAL DE
DEPRECIAÇÃO &amp; MANUTENÇÃO R$</t>
  </si>
  <si>
    <t>PLANILHA SEPARADA - CUSTO VARIÁVEL</t>
  </si>
  <si>
    <t>PREÇO MÉDIO UNIT. (R$)</t>
  </si>
  <si>
    <t>QTDE.
MENSAL</t>
  </si>
  <si>
    <t>Conjunto para proteção de chuvas, sendo Blusão e calça confeccionados em nylon emborrachado e/ou FR, costura e termoselado, jaqueta  mangas  longas, pala de ventilação na frente e nas costa, faixa refletiva nos braços e envolta do tórax, fechamento por zíper e pala com velcro. Calça elástico e cadarço na cintura, aleta com velcro para ajuste no tornozelo.</t>
  </si>
  <si>
    <t>Meias, padrão sport, tecido Algodão, cor preta / azul escuro</t>
  </si>
  <si>
    <t>Luva de couro para manipular arame farpado de 30 cm</t>
  </si>
  <si>
    <t>Luva mista de vaqueta / lona de 7 cm</t>
  </si>
  <si>
    <t>Luva de proteção em Látex amarela (p, m e g).</t>
  </si>
  <si>
    <t>Protetor Auricular de Silicone Plug</t>
  </si>
  <si>
    <t>Óculos de Segurança Ampla Visão Mini Carbografite</t>
  </si>
  <si>
    <t>Chapéu de palha, com abas médias</t>
  </si>
  <si>
    <t>Protetor solar (fator 50) frasco de 120 ml</t>
  </si>
  <si>
    <t>Depreciação</t>
  </si>
  <si>
    <t>Roçadeira manual, tipo motor gasolina, capacidade do tanque de combustível de 0,58 L, potência motor 2,0 KW, 2,7 CV, rotação lenta de 2.800Rpm, rotação máxima de 12.500Rpm, características adicionais lateral e com motor 38,9 cc, tipo costal com peso de 7,9kg. Cabo para duas mãos: O cabo para duas mãos também é caracterizado por ser uma forma ergonômica de manuseio; Cinto duplo de suporte/Sistema de suporte: Óculos de proteção com sistema de ventilação e uma ampla área de proteção. Sistema anti-vibratório que reduzem a transmissão da vibração que é gerada pelo motor e pela ferramenta de corte, Faca de 03 pontas para roçadeiras, original da marca do equipamento a ser acoplada. (vida útil 5 anos) Referência: STIHL ou de qualidade equivalente ou superior. Referência: Modelo equivalente, ou similar e ou de melhor qualidade ao modelo STIHL FS 290.</t>
  </si>
  <si>
    <t>Motosserra de uso agropecuário. Dados Técnicos: Capacidade do tanque de combustível (L) 0,8; Cilindrada (cm³) 76,5; Peso (kg) 6,6; Potência (kW/cv) 4,4/6,0; Rot. lenta (rpm) 2.500; Rot. máxima (rpm) 13.500; Sabre de 63 cm; Peças de reposição e assistência técnica na cidade de Manaus/AM. Referência: Modelo equivalente, ou similar e ou de melhor qualidade ao modelo STIHL MS 460.</t>
  </si>
  <si>
    <t>Motopoda. Indicada para podas em alturas. Possui rápida aceleração e uma haste que possibilita cortes de galhos no alto de árvores e manutenção de pomares. Possui alcance de aproximadamente 5m de altura (considerando a altura do operador). Motopoda telescópica que possibilita cortes de galhos no alto de árvores e manutenção de áreas verdes, além de possuir conjunto de corte com baixo nível de rebote e excelente precisão de corte. Dados técnicos: Potência (kW/cv) 1.4/1.9, Cilindrada (cm³) 36.3, Potência do motor (kW) 1.4, Peso (kg) 7.82, Pressão sonora [dB(A)] 92, Potência sonora [dB(A)] 109, Valor de vibração, direito (recolhido) (m/s²) 5.9,  Valor de vibração, direito (estendido) (m/s2) 4.6, Valor de vibração, esquerdo (recolhido) (m/s²) 6.7, Valor de vibração, esquerdo (estendido) (m/s2) 5.3, Comprimento total (máx.) cm 1) 270, Comprimento total (mín.) cm 1) 390.. Peças de reposição e assistência técnica na cidade de Manaus/AM. Modelo equivalente, ou similar e ou de melhor qualidade ao STIHL HT 131.</t>
  </si>
  <si>
    <t xml:space="preserve">3. PLANILHA DE ORÇAMENTO DE FERRAMENTAS  - OPERÁRIO RURAL (MASCULINO) </t>
  </si>
  <si>
    <t>Ancinho Curvo Pesado com 14 dentes em material aço carbono  temperado,  com cabo. Referência: Modelo equivalente, ou similar e ou de melhor qualidade ao Tramontina</t>
  </si>
  <si>
    <t>Avental PVC Forrado Tiras Soldadas 120 X 70 cm</t>
  </si>
  <si>
    <t>Balde Plástico Graduado Cobalto - Transparente / 20 Lt</t>
  </si>
  <si>
    <t xml:space="preserve">Unidade </t>
  </si>
  <si>
    <t>Capacete de segurança acoplado com protetor auricular tipo concha e protetor facial viseira incolor de policarbonato, com jugular, com certificado de aprovação (CA). (Modelo de referencia equivalente ao LJA - Kit PTA 350 - 16 dB - Tela 6" - Cod.: 200100 - C.A.: 12354 / 28007)</t>
  </si>
  <si>
    <t>Carro de Mão Extraforte com Caçamba Extraforte Metálica Cinza 65 L, Braço Metálico e Pneu Maciço. Modelo equivalente, ou similar e ou de melhor qualidade ao Tramontina</t>
  </si>
  <si>
    <t>Cavadeira articulada com cabo, altura da lâmina da cavadeira 450 mm, altura total 1805 mm, largura da cavadeira 165 mm, material da cavadeira fabricada com carbono especial de alta qualidade, cabo com acabamento envernizadode de 145 cm e peso de 3,33 kg. Referência: Modelo equivalente, ou similar e ou de melhor qualidade ao Tramontina</t>
  </si>
  <si>
    <t>Conjunto de ferramentas para jardinagem contendo, 01 pazinha larga, 01 pazinha estreita, 01 garfo. Modelo equivalente, ou similar e ou de melhor qualidade ao Tramontina</t>
  </si>
  <si>
    <t>Enxada com cabo de madeira de 130 cm, material aço carbono de alta qualidade temperado, olho oval de 38 mm de diâmetro, peso de 1,61 kg, medida da lâmina 200x250 mm. A lâmina possui tamanho 1.5 e sua afiação é feita em máquinas automatizadas, proporcionando excelente durabilidade do fioProduto fabricado segundo norma ABNT NBR 6413.</t>
  </si>
  <si>
    <t>Enxada com cabo de madeira de 145 cm, material aço carbono de alta qualidade temperado, olho oval de 38 mm de diâmetro, peso de 1,69 kg, medida da lâmina 200x290 mm. A lâmina possui tamanho  2.5 e sua afiação é feita em máquinas automatizadas, proporcionando excelente durabilidade do fioProduto fabricado segundo norma ABNT NBR 6413.</t>
  </si>
  <si>
    <t>Facão Terçado com cabo de madeira ou polietileno com 04 rebites de fixação, com maior resistência a impactos, perfeito acabamento da lâmina e do fio do corte, lâmina inteiriça até o término do cabo com afiação especial, em aço SAE 1074, temperado e revenida, proporciona dureza homogênea, rebites e lâmina possuem acabamento em verniz incolor anticorrosivo, peso 0,46 kg, tamanho 22", altura total 692 mm (A), largura da lâmina 74 mm (B), comprimento da lâmina 558 mm. Modelo equivalente, ou similar e ou de melhor qualidade ao Bellota</t>
  </si>
  <si>
    <t>Foice Roçadeira Tipo L em Aço com Cabo de Madeira envernizado de 110 cm. Fabricada em aço carbono especial de alta qualidade, com lâmina altamente resistente e afiada. Referência: Modelo equivalente, ou similar e ou de melhor qualidade ao Tramontina</t>
  </si>
  <si>
    <t>Mangueira cristal trançada de 3/4, com rolo 50 metros. Pressão de trabalho: 500PSI – 34,47BAR. Referência: Modelo equivalente, ou similar e ou de melhor qualidade a Plastic.</t>
  </si>
  <si>
    <t>METRO</t>
  </si>
  <si>
    <t>Pá quadrada metálica com cabo de madeira de 74 cm, peso 1,79 kg, com empunhadura plástica, com 112 cm altura total, com 51 cm x 22 cm x 35 especificação da lâmina.</t>
  </si>
  <si>
    <t>Pá de Bico fabricada em aço carbono especial de alta qualidade com Cabo de Madeira 71 cm com Empunhadura Plástica Curva Ergonômica, peso 1,14 kg. Referência: Modelo equivalente, ou similar e ou de melhor qualidade ao Tramontina</t>
  </si>
  <si>
    <t>Peneira de Aro Plástico PPV 0855 para Areia 55cm. Referência: Modelo equivalente, ou similar e ou de melhor qualidade a Vonder</t>
  </si>
  <si>
    <t>Unidade</t>
  </si>
  <si>
    <t>Perneira de segurança, confecccionada em couro sintético com  3 (três) talas de proteção, fechamento em velcro e fechos plásticos com certificado de aprovação (CA)</t>
  </si>
  <si>
    <t>Onde:</t>
  </si>
  <si>
    <t>Pulverizador costal cor laranja, ergonômico, com tanque simétrico, alavanca pode ser acionada com a mão direita ou esquerda, com capacidade de 20 litros, destinada a aplicação mais eficiente e racional de defensivos e fertilizantes foliares. Sistema de filtragem progressivo em 4 pontos: tanque, bomba, cabo da válvula e bico, evitando entupimento; Lança curva e acumulador de pressão em cobre; Maior resistência ao impacto e à corrosão: chassis de plástico reforçado; De fácil manutenção e substituição de peças. Referência: Modelo equivalente, ou similar e ou de melhor qualidade ao Guarany</t>
  </si>
  <si>
    <t>Regador plástico, com capacidade para 10 litros. Ideal para regar: plantas,jardim,jardinagem,flores,hortas,viveiros,hortaliças.</t>
  </si>
  <si>
    <t>Saco Reutilizável Coletor de Folhas , com abas, 500L , Tamanho 86x86 cm</t>
  </si>
  <si>
    <t>Tela de proteção de 6 M2 (comprim. 3m e 2m de altura, com suporte nos extremos, utilizado para bloquear resíduos fruto da atividade de roço. (Protetor de Roçagem)</t>
  </si>
  <si>
    <t>Tesourão de Poda Tipo Bypass em Aço com Cabo Telescópico Extensível 46,5 até 78 cm, comprimento 670 mm, largura 40 mm e altura 228 mm. Referência: Modelo equivalente, ou similar e ou de melhor qualidade ao Tramontina</t>
  </si>
  <si>
    <t>Serrote para poda 12 Pol</t>
  </si>
  <si>
    <t>Vassoura para jardim com cabo e palheta regulável, palheta de aço temperado. Modelo equivalente, ou similar e ou de melhor qualidade ao Tramontina</t>
  </si>
  <si>
    <t>Calça uniforme profissional  com elástico. Bolsos frontais, e nas lateriais da perna.  Brim Jeans azul marinho</t>
  </si>
  <si>
    <t>Camiseta malha fria gola em "V", manga curta, cor cinza</t>
  </si>
  <si>
    <t>Calçado: Bota Impermeável de Pvc Forrada Cano Longo Preta até o joelho com biqueira e palmilha de aço</t>
  </si>
  <si>
    <t>Trado Holandês com caçamba de 20 cm e diâmetro de 1 1/2’’ (uma polegada e meia), para coletas de solo em profundidade de 20 em 20 cm. Faz buracos com uma polegada e meia de diâmetro e a amostra possui diâmetro de 1" (uma polegada). Marca Ref. Sonda Terra, modelo TF-20</t>
  </si>
  <si>
    <r>
      <t xml:space="preserve">Camisa  uniforme profissional - Gola italiana, manga longa com elastico no punho </t>
    </r>
    <r>
      <rPr>
        <b/>
        <sz val="11"/>
        <rFont val="Calibri"/>
        <family val="2"/>
        <scheme val="minor"/>
      </rPr>
      <t xml:space="preserve"> e com emblema da empresa e nome do Posto pintados no bolso (Ex: Op. Rural)</t>
    </r>
    <r>
      <rPr>
        <sz val="11"/>
        <rFont val="Calibri"/>
        <family val="2"/>
        <scheme val="minor"/>
      </rPr>
      <t xml:space="preserve"> . Brim azul marinho.</t>
    </r>
  </si>
  <si>
    <t>PLANILHA DE CUSTOS E FORMAÇÃO DE PREÇOS</t>
  </si>
  <si>
    <t>MODELO PARA A CONSOLIDAÇÃO E APRESENTAÇÃO DE PROPOSTAS</t>
  </si>
  <si>
    <t>PLANILHA CONFORME PORTAL DE COMPRAS</t>
  </si>
  <si>
    <t>https://www.comprasgovernamentais.gov.br/index.php/noticias/942-planilha-noticia</t>
  </si>
  <si>
    <t>Com ajustes após publicação da Lei n° 13.467, de 2017.</t>
  </si>
  <si>
    <t>Módulo 1 - Composição da Remuneração</t>
  </si>
  <si>
    <t>Composição da Remuneração</t>
  </si>
  <si>
    <t>Valor (R$)</t>
  </si>
  <si>
    <t>A</t>
  </si>
  <si>
    <t>Salário-Base</t>
  </si>
  <si>
    <t>B</t>
  </si>
  <si>
    <t xml:space="preserve">Adicional de Periculosidade </t>
  </si>
  <si>
    <t>C</t>
  </si>
  <si>
    <t>Adicional de Insalubridade</t>
  </si>
  <si>
    <t>D</t>
  </si>
  <si>
    <t>Adicional Noturno</t>
  </si>
  <si>
    <t>E</t>
  </si>
  <si>
    <t>Adicional de Hora Noturna Reduzida</t>
  </si>
  <si>
    <t>F</t>
  </si>
  <si>
    <t>Outros (especificar)</t>
  </si>
  <si>
    <t>Total</t>
  </si>
  <si>
    <t>Módulo 2 - Encargos e Benefícios Anuais, Mensais e Diários</t>
  </si>
  <si>
    <t>Submódulo 2.1 - 13º (décimo terceiro) Salário, Férias e Adicional de Férias</t>
  </si>
  <si>
    <t>2.1</t>
  </si>
  <si>
    <t>13º (décimo terceiro) Salário, Férias e Adicional de Férias</t>
  </si>
  <si>
    <t>2.2</t>
  </si>
  <si>
    <t>Percentual (%)</t>
  </si>
  <si>
    <t>INSS ((Módulo 1 + Módulo 2) * Percentual do encargo)</t>
  </si>
  <si>
    <t>Salário Educação ((Módulo 1 + Módulo 2) * Percentual do encargo)</t>
  </si>
  <si>
    <t>SEBRAE ((Módulo 1 + Módulo 2) * Percentual do encargo)</t>
  </si>
  <si>
    <t>G</t>
  </si>
  <si>
    <t>INCRA ((Módulo 1 + Módulo 2) * Percentual do encargo)</t>
  </si>
  <si>
    <t>H</t>
  </si>
  <si>
    <t>FGTS ((Módulo 1 + Módulo 2) * Percentual do encargo)</t>
  </si>
  <si>
    <t xml:space="preserve">Total </t>
  </si>
  <si>
    <t>Submódulo 2.3 - Benefícios Mensais e Diários.</t>
  </si>
  <si>
    <t>2.3</t>
  </si>
  <si>
    <t>Benefícios Mensais e Diários</t>
  </si>
  <si>
    <t xml:space="preserve">Transporte </t>
  </si>
  <si>
    <t xml:space="preserve">Auxílio-Refeição/Alimentação </t>
  </si>
  <si>
    <t>Quadro-Resumo do Módulo 2 - Encargos e Benefícios anuais, mensais e diários</t>
  </si>
  <si>
    <t>Encargos e Benefícios Anuais, Mensais e Diários</t>
  </si>
  <si>
    <t>13º (décimo terceiro) Salário, Férias e Adicional de Férias (total do submódulo 2.1)</t>
  </si>
  <si>
    <t>Benefícios Mensais e Diários  (total do submódulo 2.3)</t>
  </si>
  <si>
    <t>Módulo 3 - Provisão para Rescisão</t>
  </si>
  <si>
    <t>Provisão para Rescisão</t>
  </si>
  <si>
    <t>Incidência do FGTS sobre o Aviso Prévio Indenizado (mod. 3 item "A"*0,08)</t>
  </si>
  <si>
    <t>Módulo 4 - Custo de Reposição do Profissional Ausente</t>
  </si>
  <si>
    <t>Submódulo 4.1 - Ausências Legais</t>
  </si>
  <si>
    <t>4.1</t>
  </si>
  <si>
    <t>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</si>
  <si>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</si>
  <si>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</si>
  <si>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</si>
  <si>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</si>
  <si>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</si>
  <si>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(especificar)</t>
  </si>
  <si>
    <t xml:space="preserve">Submódulo 4.2 - Substituto na Intrajornada </t>
  </si>
  <si>
    <t>4.2</t>
  </si>
  <si>
    <t>Substituto na Intrajornada </t>
  </si>
  <si>
    <t>Substituto na cobertura de Intervalo para repouso ou alimentação</t>
  </si>
  <si>
    <t>Quadro-Resumo do Módulo 4 - Custo de Reposição do Profissional Ausente</t>
  </si>
  <si>
    <t>Custo de Reposição do Profissional Ausente</t>
  </si>
  <si>
    <t>Substituto nas Ausências Legais (total submódulo 4.1)</t>
  </si>
  <si>
    <t>Substituto na Intrajornada (total submódulo 4.2)</t>
  </si>
  <si>
    <t>Módulo 5 - Insumos Diversos</t>
  </si>
  <si>
    <t>Insumos Diversos</t>
  </si>
  <si>
    <t>Uniformes</t>
  </si>
  <si>
    <t>Materiais (uso coletivo)</t>
  </si>
  <si>
    <t>Equipamentos (uso coletivo - Depreciação)</t>
  </si>
  <si>
    <t>Módulo 6 - Custos Indiretos, Tributos e Lucro</t>
  </si>
  <si>
    <t>Custos Indiretos, Tributos e Lucro</t>
  </si>
  <si>
    <t>Custos Indiretos</t>
  </si>
  <si>
    <t>Lucro</t>
  </si>
  <si>
    <t>Tributos</t>
  </si>
  <si>
    <t>C.1. Tributos Federais (PIS, COFINS)</t>
  </si>
  <si>
    <t xml:space="preserve">C.2. Tributos Estaduais </t>
  </si>
  <si>
    <t>C.3. Tributos Municipais (ISS)</t>
  </si>
  <si>
    <t>2. QUADRO-RESUMO DO CUSTO POR EMPREGADO</t>
  </si>
  <si>
    <t>Mão de obra vinculada à execução contratual (valor por empregado)</t>
  </si>
  <si>
    <t>Subtotal (A + B +C+ D+E)</t>
  </si>
  <si>
    <t>Módulo 6 – Custos Indiretos, Tributos e Lucro</t>
  </si>
  <si>
    <t xml:space="preserve">Valor Total por Empregado </t>
  </si>
  <si>
    <t>Por Posto</t>
  </si>
  <si>
    <t>Materiais (EPI'S)</t>
  </si>
  <si>
    <t>Vale Transporte</t>
  </si>
  <si>
    <t>Cargo</t>
  </si>
  <si>
    <t>Salario Base</t>
  </si>
  <si>
    <t>Valor do Vale</t>
  </si>
  <si>
    <t>Dias trabalhados</t>
  </si>
  <si>
    <t>Desconto</t>
  </si>
  <si>
    <t>Valor liquido</t>
  </si>
  <si>
    <t>valor no mês</t>
  </si>
  <si>
    <t>Todos os cargos da SEAC-AM</t>
  </si>
  <si>
    <t>CÁLCULO: (INCIDÊNCIA ANUAL X DURAÇÃO LEGAL DA AUSÊNCIA) X PROPORÇÃO DE DIAS AFETADOS</t>
  </si>
  <si>
    <t>Categoria</t>
  </si>
  <si>
    <t>Incidência Anual</t>
  </si>
  <si>
    <t>Duração Legal Da Ausência</t>
  </si>
  <si>
    <t>Proporção dias afetados</t>
  </si>
  <si>
    <t>Dias de reposição</t>
  </si>
  <si>
    <t>Férias</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</si>
  <si>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</si>
  <si>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</si>
  <si>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</si>
  <si>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</si>
  <si>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</si>
  <si>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</si>
  <si>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</si>
  <si>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</si>
  <si>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</si>
  <si>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</si>
  <si>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</si>
  <si>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6. OPERARIO RURAL</t>
  </si>
  <si>
    <t>VLR ANUAL R$</t>
  </si>
  <si>
    <t>ANUAL</t>
  </si>
  <si>
    <t xml:space="preserve">Auxilio Refeição </t>
  </si>
  <si>
    <t>Férias e Adicional de Férias ((Total Modulo 1 /12) + ((Total Módulo 1 /3) /12)</t>
  </si>
  <si>
    <t>GRUPO  2 - CUSTO VARIÁVEL</t>
  </si>
  <si>
    <t>GRUPO 1 - CUSTO FIXO</t>
  </si>
  <si>
    <t xml:space="preserve">TOTAL </t>
  </si>
  <si>
    <t>13º décimo terceiro Sálario (Total Módulo 1 /12)</t>
  </si>
  <si>
    <t>INSS, FGTS e outras contribuições (total do submódulo 2.2)</t>
  </si>
  <si>
    <t>Incidência de INSSS, FGTS e outras contribuições sobre o Aviso Prévio Trabalhado (Módulo 3 item"D" * percentual total do submodulo 2.2)</t>
  </si>
  <si>
    <t>Submódulo 2.2 - Encargos Previdenciários (INSS), Fundo de Garantia por Tempo de Serviço (FGTS) e outras contribuições.</t>
  </si>
  <si>
    <t>INSS, FGTS e outras contribuições</t>
  </si>
  <si>
    <t>Multa do FGTS e contribuição social sobre o Aviso Prévio Trabalhado ((Módulo 3 item "D" * 0,08)*0,4)</t>
  </si>
  <si>
    <t xml:space="preserve">1. PLANILHA DE ORÇAMENTO DE UNIFORMES –  OPERÁRIO RURAL </t>
  </si>
  <si>
    <t xml:space="preserve">2. PLANILHA DE ORÇAMENTO DE EPI´s –   OPERÁRIO RURAL </t>
  </si>
  <si>
    <t>Multa do FGTS e contribuição social sobre o Aviso Prévio Indenizado  (Módulo 3, item B *40%)</t>
  </si>
  <si>
    <t xml:space="preserve">ASSISTÊNCIA SOCIAL E FAMILIAR </t>
  </si>
  <si>
    <t xml:space="preserve">Valor/unid </t>
  </si>
  <si>
    <t>GIL/RAT ((Módulo 1 + Módulo 2) * Percentual do encargo)</t>
  </si>
  <si>
    <t>Outros a especificar</t>
  </si>
  <si>
    <t>Assistência médica e familiar (conforme quadro de benefícios anexo)</t>
  </si>
  <si>
    <t>SESC  ((Módulo 1 + Módulo 2) * Percentual do encargo)</t>
  </si>
  <si>
    <t>SENAC ((Módulo 1 + Módulo 2) * Percentual do encargo)</t>
  </si>
  <si>
    <t>Cestas básicas (conforme quadro de benefícios anexo)</t>
  </si>
  <si>
    <t xml:space="preserve"> CESTAS BÁSICAS </t>
  </si>
  <si>
    <t>1. Os cálculos foram feitos para  1 (um) funcionário.</t>
  </si>
  <si>
    <t>CUSTO TOTAL SEM TRIBUTOS</t>
  </si>
  <si>
    <t>CUSTO TOTAL COM TRIBUTOS (PIS, COFINS E ISS -  8,65%)</t>
  </si>
  <si>
    <t>Conjunto para aplicação de herbicida, respeitando a ISO 27065 E A NR31 Permite a respiração e transpiração da pele. Características: - confeccionado em tecido 50% algodão / 50% poliester com tratamento hidrorepelente para 30 lavagens. Composição: - blusão de segurança com manga raglan, ajuste no peito por velcro, ajuste na cintura por tiras do mesmo material; - calça de segurança com ajustes na cintura por cordão, barra feita em pvc forrado de alta resistencia; - boné árabe com ajuste no pescoço por velcro - e avental de segurança confeccionado em pvc forrado plus na cor amarela. OBS: Apenas 6 operadores utilizarão este EPI.</t>
  </si>
  <si>
    <t>OPERÁRIO RURAL</t>
  </si>
  <si>
    <t>JARDINEIRO/ROÇADOR/PODADOR (CBO 6220-20)</t>
  </si>
  <si>
    <t>1. PLANILHA DE ORÇAMENTO DE UNIFORMES –  JARDINEIRO/ROÇADOR/PODADOR (CBO 6220-20)</t>
  </si>
  <si>
    <t>2. PLANILHA DE ORÇAMENTO DE EPI´s –  JARDINEIRO/ROÇADOR/PODADOR (CBO 6220-20)</t>
  </si>
  <si>
    <t>3. PLANILHA DE EQUIPAMENTOS –  JARDINEIRO/ROÇADOR/PODADOR (CBO 6220-20)</t>
  </si>
  <si>
    <t xml:space="preserve">3. Valor da tarifa de transporte coletivo (onibus)  está  de  acordo  com  o   Decreto n° 4.969,  de  18 de dezembro  de  2020 da </t>
  </si>
  <si>
    <t>Prefeitura de Manaus.</t>
  </si>
  <si>
    <t xml:space="preserve">JARDINEIRO/ROÇADOR/PODADOR </t>
  </si>
  <si>
    <t>2. Os valores  referenciais  do  item  Cestas Básicas  e  Assitência  Social  e  Familiar  foram  extraídos  da  Convenção Coletiva de Trabalho 2021/2021 do SEAC-AM - Sindicato das empresas de Asseio  e  Conservação  do  estado  do  Amazonas, Cláusulas Oitava  e Décima. Dispnível em http://www3.mte.gov.br/sistemas/mediador/ConsultarInstColetivo.</t>
  </si>
  <si>
    <t>Submódulo 2.1 - 13º (décimo terceiro )Salário, Férias e Adicional de Férias</t>
  </si>
  <si>
    <r>
      <t xml:space="preserve">Aviso Prévio Indenizado </t>
    </r>
    <r>
      <rPr>
        <sz val="8"/>
        <color theme="1"/>
        <rFont val="Calibri"/>
        <family val="2"/>
        <scheme val="minor"/>
      </rPr>
      <t xml:space="preserve"> </t>
    </r>
    <r>
      <rPr>
        <sz val="11"/>
        <color theme="1"/>
        <rFont val="Calibri"/>
        <family val="2"/>
        <scheme val="minor"/>
      </rPr>
      <t xml:space="preserve">  (total do módulo 1 + total submódulo 2.1 + total submódulo 2.2 H) / 12. Sem inciencia dos encargos previdenciarios.</t>
    </r>
  </si>
  <si>
    <t xml:space="preserve">*Aviso Prévio Trabalhado (Refere-se à indenização de sete dias corridos devida ao empregado no caso de o empregador rescindir o contrato sem justo motivo e conceder aviso prévio, conforme disposto no art. 488 da CLT. ((Modulos 1+2.1+2.2)/30)x7/12)  </t>
  </si>
  <si>
    <t>Aviso Prévio Indenizado (total do módulo 1+ total submódulo 2.1+ total submódulo 2.2 H) /12. Sem incidência dos encargos previdenciários.</t>
  </si>
  <si>
    <t>2. JARDINEIRO ROÇADOR</t>
  </si>
  <si>
    <t>Multa do FGTS  sobre o Aviso Prévio Trabalhado ((Módulo 3 item "D" * 0,08)*0,4)</t>
  </si>
  <si>
    <t>JORNADA
DE TRABALHO</t>
  </si>
  <si>
    <t>44H SEMANAIS</t>
  </si>
  <si>
    <t xml:space="preserve">*Nota: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 (Acórdão nº 1.186/2017 - TCU - Plenário).
O Aviso Prévio Trabalhado serve para provisionar 7 dias ao final do contrato para o empregado procurar emprego. 1,94% significa a concessão de 7 dias para 100% dos empregados, ou seja, (7/30/12)x100. </t>
  </si>
  <si>
    <t>CUSTO POR POSTO (2)</t>
  </si>
  <si>
    <t>OPERÁRIO RURAL (CBO 6210-05)
CONVENÇÃO COLETIVA REGISTRO M.T.E. SEAC AM000507/2020 (VIGÊNCIA 01º/01/2021 a 31/12/2021)</t>
  </si>
  <si>
    <t>JARDINEIRO/ROÇADOR/PODADOR (CBO 6220-20)
CONVENÇÃO COLETIVA REGISTRO M.T.E. SEAC AM000507/2020 (VIGÊNCIA 01º/01/2021 a 31/12/2021)</t>
  </si>
  <si>
    <t>MODELO DE PLANILHA DE CUSTOS E FORMAÇÃO DE PREÇOS</t>
  </si>
  <si>
    <t>TOTAL GERAL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</si>
</sst>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_ ;[Red]\-#,##0.00\ "/>
    <numFmt numFmtId="165" formatCode="_(* #,##0.00_);_(* \(#,##0.00\);_(* \-??_);_(@_)"/>
    <numFmt numFmtId="166" formatCode="#,##0_ ;[Red]\-#,##0\ "/>
    <numFmt numFmtId="167" formatCode="_(* #,##0.00_);_(* \(#,##0.00\);_(* &quot;-&quot;??_);_(@_)"/>
    <numFmt numFmtId="168" formatCode="_-* #,##0.0000_-;\-* #,##0.0000_-;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1"/>
      <name val="Calibri"/>
      <family val="2"/>
      <scheme val="minor"/>
    </font>
    <font>
      <sz val="10"/>
      <name val="Arial"/>
      <family val="2"/>
    </font>
    <font>
      <u/>
      <sz val="11"/>
      <color theme="10"/>
      <name val="Calibri"/>
      <family val="2"/>
      <scheme val="minor"/>
    </font>
    <font>
      <u/>
      <sz val="11"/>
      <color theme="0"/>
      <name val="Calibri"/>
      <family val="2"/>
      <scheme val="minor"/>
    </font>
    <font>
      <b/>
      <sz val="9"/>
      <color indexed="81"/>
      <name val="Tahoma"/>
      <family val="2"/>
    </font>
    <font>
      <sz val="9"/>
      <color indexed="81"/>
      <name val="Tahoma"/>
      <family val="2"/>
    </font>
    <font>
      <sz val="11"/>
      <color rgb="FF000000"/>
      <name val="Calibri"/>
      <family val="2"/>
      <scheme val="minor"/>
    </font>
    <font>
      <b/>
      <i/>
      <sz val="11"/>
      <color rgb="FFC00000"/>
      <name val="Calibri"/>
      <family val="2"/>
      <scheme val="minor"/>
    </font>
    <font>
      <b/>
      <sz val="11"/>
      <color rgb="FFFF0000"/>
      <name val="Calibri"/>
      <family val="2"/>
      <scheme val="minor"/>
    </font>
    <font>
      <sz val="8"/>
      <color theme="1"/>
      <name val="Calibri"/>
      <family val="2"/>
      <scheme val="minor"/>
    </font>
    <font>
      <i/>
      <sz val="11"/>
      <color rgb="FFC00000"/>
      <name val="Calibri"/>
      <family val="2"/>
      <scheme val="minor"/>
    </font>
    <font>
      <b/>
      <sz val="12"/>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2" tint="-0.749992370372631"/>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1"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99"/>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9" fillId="0" borderId="0" applyFill="0" applyBorder="0" applyAlignment="0" applyProtection="0"/>
    <xf numFmtId="0" fontId="10" fillId="0" borderId="0" applyNumberFormat="0" applyFill="0" applyBorder="0" applyAlignment="0" applyProtection="0"/>
  </cellStyleXfs>
  <cellXfs count="260">
    <xf numFmtId="0" fontId="0" fillId="0" borderId="0" xfId="0"/>
    <xf numFmtId="0" fontId="5"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horizontal="center"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0" fillId="4" borderId="6" xfId="0" applyFont="1" applyFill="1" applyBorder="1" applyAlignment="1">
      <alignment horizontal="left" vertical="center" wrapText="1"/>
    </xf>
    <xf numFmtId="0" fontId="0" fillId="4" borderId="6" xfId="0" applyFont="1" applyFill="1" applyBorder="1" applyAlignment="1">
      <alignment horizontal="center" vertical="center" wrapText="1"/>
    </xf>
    <xf numFmtId="4" fontId="0" fillId="0" borderId="6" xfId="0" applyNumberFormat="1" applyFont="1" applyFill="1" applyBorder="1" applyAlignment="1">
      <alignment horizontal="center" vertical="center"/>
    </xf>
    <xf numFmtId="4" fontId="0" fillId="0" borderId="6" xfId="1" applyNumberFormat="1" applyFont="1" applyBorder="1" applyAlignment="1">
      <alignment vertical="center"/>
    </xf>
    <xf numFmtId="4" fontId="3" fillId="2" borderId="6" xfId="0" applyNumberFormat="1" applyFont="1" applyFill="1" applyBorder="1" applyAlignment="1">
      <alignment horizontal="center" vertical="center" wrapText="1"/>
    </xf>
    <xf numFmtId="4" fontId="3" fillId="2" borderId="6" xfId="0" applyNumberFormat="1" applyFont="1" applyFill="1" applyBorder="1" applyAlignment="1">
      <alignment horizontal="right" vertical="center" wrapText="1"/>
    </xf>
    <xf numFmtId="0" fontId="3" fillId="0" borderId="0" xfId="0" applyFont="1" applyAlignment="1">
      <alignment vertical="center"/>
    </xf>
    <xf numFmtId="0" fontId="8" fillId="2" borderId="1" xfId="0" applyFont="1" applyFill="1" applyBorder="1" applyAlignment="1">
      <alignment horizontal="center" vertical="center"/>
    </xf>
    <xf numFmtId="0" fontId="0" fillId="0" borderId="6" xfId="0" applyFont="1" applyBorder="1" applyAlignment="1">
      <alignment vertical="center"/>
    </xf>
    <xf numFmtId="43" fontId="0" fillId="0" borderId="6" xfId="1" applyFont="1" applyBorder="1" applyAlignment="1">
      <alignment horizontal="center" vertical="center"/>
    </xf>
    <xf numFmtId="0" fontId="3" fillId="6" borderId="6" xfId="0" applyFont="1" applyFill="1" applyBorder="1" applyAlignment="1">
      <alignment vertical="center"/>
    </xf>
    <xf numFmtId="4" fontId="3" fillId="6" borderId="6" xfId="0" applyNumberFormat="1" applyFont="1" applyFill="1" applyBorder="1" applyAlignment="1">
      <alignment horizontal="center" vertical="center"/>
    </xf>
    <xf numFmtId="4" fontId="3" fillId="6" borderId="6" xfId="0" applyNumberFormat="1" applyFont="1" applyFill="1" applyBorder="1" applyAlignment="1">
      <alignment horizontal="right" vertical="center"/>
    </xf>
    <xf numFmtId="10" fontId="0" fillId="0" borderId="6" xfId="0" applyNumberFormat="1" applyFont="1" applyBorder="1" applyAlignment="1">
      <alignment vertical="center"/>
    </xf>
    <xf numFmtId="43" fontId="0" fillId="0" borderId="3" xfId="1" applyFont="1" applyBorder="1" applyAlignment="1">
      <alignment horizontal="center" vertical="center"/>
    </xf>
    <xf numFmtId="0" fontId="3" fillId="2" borderId="6" xfId="0" applyFont="1" applyFill="1" applyBorder="1" applyAlignment="1">
      <alignment vertical="center"/>
    </xf>
    <xf numFmtId="4" fontId="3" fillId="2" borderId="6" xfId="0" applyNumberFormat="1" applyFont="1" applyFill="1" applyBorder="1" applyAlignment="1">
      <alignment horizontal="center" vertical="center"/>
    </xf>
    <xf numFmtId="4" fontId="3" fillId="2" borderId="6" xfId="0" applyNumberFormat="1" applyFont="1" applyFill="1" applyBorder="1" applyAlignment="1">
      <alignment horizontal="right" vertical="center"/>
    </xf>
    <xf numFmtId="0" fontId="7" fillId="0" borderId="6" xfId="3" applyFont="1" applyFill="1" applyBorder="1" applyAlignment="1">
      <alignment horizontal="center" vertical="center"/>
    </xf>
    <xf numFmtId="164" fontId="8" fillId="8" borderId="6" xfId="3" applyNumberFormat="1" applyFont="1" applyFill="1" applyBorder="1" applyAlignment="1">
      <alignment horizontal="center" vertical="center"/>
    </xf>
    <xf numFmtId="0" fontId="8" fillId="0" borderId="6" xfId="3" applyFont="1" applyFill="1" applyBorder="1" applyAlignment="1">
      <alignment horizontal="center" vertical="center"/>
    </xf>
    <xf numFmtId="164" fontId="8" fillId="0" borderId="6" xfId="3" applyNumberFormat="1" applyFont="1" applyFill="1" applyBorder="1" applyAlignment="1">
      <alignment horizontal="center" vertical="center"/>
    </xf>
    <xf numFmtId="0" fontId="7" fillId="0" borderId="0" xfId="3" applyFont="1" applyFill="1" applyAlignment="1">
      <alignment vertical="center"/>
    </xf>
    <xf numFmtId="0" fontId="7" fillId="0" borderId="6" xfId="3" applyFont="1" applyFill="1" applyBorder="1" applyAlignment="1">
      <alignment horizontal="justify" vertical="center"/>
    </xf>
    <xf numFmtId="0" fontId="7" fillId="0" borderId="7" xfId="3" applyFont="1" applyFill="1" applyBorder="1" applyAlignment="1">
      <alignment horizontal="justify" vertical="center"/>
    </xf>
    <xf numFmtId="0" fontId="8" fillId="0" borderId="0" xfId="3" applyFont="1" applyAlignment="1">
      <alignment vertical="center"/>
    </xf>
    <xf numFmtId="0" fontId="7" fillId="0" borderId="0" xfId="3" applyFont="1" applyAlignment="1">
      <alignment vertical="center"/>
    </xf>
    <xf numFmtId="164" fontId="8" fillId="9" borderId="6" xfId="3" applyNumberFormat="1" applyFont="1" applyFill="1" applyBorder="1" applyAlignment="1">
      <alignment horizontal="center" vertical="center"/>
    </xf>
    <xf numFmtId="0" fontId="7" fillId="0" borderId="0" xfId="3" applyFont="1" applyAlignment="1">
      <alignment horizontal="justify" vertical="center"/>
    </xf>
    <xf numFmtId="4" fontId="8" fillId="9" borderId="6" xfId="3" applyNumberFormat="1" applyFont="1" applyFill="1" applyBorder="1" applyAlignment="1">
      <alignment horizontal="center" vertical="center"/>
    </xf>
    <xf numFmtId="0" fontId="8" fillId="7" borderId="6" xfId="3" applyFont="1" applyFill="1" applyBorder="1" applyAlignment="1">
      <alignment horizontal="center" vertical="center"/>
    </xf>
    <xf numFmtId="0" fontId="3" fillId="0" borderId="0" xfId="0" applyFont="1" applyAlignment="1">
      <alignment horizontal="center"/>
    </xf>
    <xf numFmtId="10" fontId="8" fillId="0" borderId="0" xfId="3" applyNumberFormat="1" applyFont="1" applyAlignment="1">
      <alignment horizontal="center" vertical="center"/>
    </xf>
    <xf numFmtId="0" fontId="8" fillId="7" borderId="7" xfId="3" applyFont="1" applyFill="1" applyBorder="1" applyAlignment="1">
      <alignment horizontal="center" vertical="center"/>
    </xf>
    <xf numFmtId="0" fontId="8" fillId="7" borderId="7" xfId="3" applyFont="1" applyFill="1" applyBorder="1" applyAlignment="1">
      <alignment horizontal="center" vertical="center" wrapText="1"/>
    </xf>
    <xf numFmtId="4" fontId="8" fillId="7" borderId="6" xfId="3" applyNumberFormat="1" applyFont="1" applyFill="1" applyBorder="1" applyAlignment="1">
      <alignment horizontal="center" vertical="center" wrapText="1"/>
    </xf>
    <xf numFmtId="0" fontId="8" fillId="7" borderId="6" xfId="3" applyFont="1" applyFill="1" applyBorder="1" applyAlignment="1">
      <alignment horizontal="center" vertical="center" wrapText="1"/>
    </xf>
    <xf numFmtId="0" fontId="7" fillId="0" borderId="1" xfId="3" applyFont="1" applyFill="1" applyBorder="1" applyAlignment="1">
      <alignment horizontal="center" vertical="center"/>
    </xf>
    <xf numFmtId="0" fontId="7" fillId="0" borderId="6" xfId="3" applyFont="1" applyBorder="1" applyAlignment="1">
      <alignment horizontal="center" vertical="center"/>
    </xf>
    <xf numFmtId="0" fontId="8" fillId="0" borderId="6" xfId="3" applyFont="1" applyFill="1" applyBorder="1" applyAlignment="1">
      <alignment horizontal="center" vertical="center" wrapText="1"/>
    </xf>
    <xf numFmtId="2" fontId="8" fillId="0" borderId="6" xfId="3" applyNumberFormat="1" applyFont="1" applyFill="1" applyBorder="1" applyAlignment="1">
      <alignment horizontal="center" vertical="center" wrapText="1"/>
    </xf>
    <xf numFmtId="164" fontId="8" fillId="0" borderId="6" xfId="3" applyNumberFormat="1" applyFont="1" applyBorder="1" applyAlignment="1">
      <alignment horizontal="center" vertical="center"/>
    </xf>
    <xf numFmtId="0" fontId="7" fillId="0" borderId="1" xfId="3" applyFont="1" applyBorder="1" applyAlignment="1">
      <alignment horizontal="center" vertical="center"/>
    </xf>
    <xf numFmtId="0" fontId="7" fillId="0" borderId="6" xfId="3" applyFont="1" applyFill="1" applyBorder="1" applyAlignment="1">
      <alignment horizontal="justify" vertical="center" wrapText="1"/>
    </xf>
    <xf numFmtId="0" fontId="8" fillId="7" borderId="8" xfId="3" applyFont="1" applyFill="1" applyBorder="1" applyAlignment="1">
      <alignment horizontal="center" vertical="center"/>
    </xf>
    <xf numFmtId="0" fontId="8" fillId="7" borderId="9" xfId="3" applyFont="1" applyFill="1" applyBorder="1" applyAlignment="1">
      <alignment vertical="center"/>
    </xf>
    <xf numFmtId="0" fontId="7" fillId="7" borderId="9" xfId="3" applyFont="1" applyFill="1" applyBorder="1" applyAlignment="1">
      <alignment vertical="center"/>
    </xf>
    <xf numFmtId="166" fontId="8" fillId="7" borderId="7" xfId="3" applyNumberFormat="1" applyFont="1" applyFill="1" applyBorder="1" applyAlignment="1">
      <alignment horizontal="center" vertical="center"/>
    </xf>
    <xf numFmtId="164" fontId="8" fillId="7" borderId="7" xfId="3" applyNumberFormat="1" applyFont="1" applyFill="1" applyBorder="1" applyAlignment="1">
      <alignment horizontal="center" vertical="center"/>
    </xf>
    <xf numFmtId="0" fontId="8" fillId="2" borderId="1" xfId="3" applyFont="1" applyFill="1" applyBorder="1" applyAlignment="1">
      <alignment horizontal="center" vertical="center"/>
    </xf>
    <xf numFmtId="0" fontId="8" fillId="2" borderId="2" xfId="3" applyFont="1" applyFill="1" applyBorder="1" applyAlignment="1">
      <alignment vertical="center"/>
    </xf>
    <xf numFmtId="0" fontId="7" fillId="2" borderId="2" xfId="3" applyFont="1" applyFill="1" applyBorder="1" applyAlignment="1">
      <alignment vertical="center"/>
    </xf>
    <xf numFmtId="164" fontId="8" fillId="2" borderId="2" xfId="3" applyNumberFormat="1" applyFont="1" applyFill="1" applyBorder="1" applyAlignment="1">
      <alignment horizontal="center" vertical="center"/>
    </xf>
    <xf numFmtId="0" fontId="7" fillId="2" borderId="3" xfId="3" applyFont="1" applyFill="1" applyBorder="1" applyAlignment="1">
      <alignment vertical="center"/>
    </xf>
    <xf numFmtId="164" fontId="8" fillId="9" borderId="3" xfId="3" applyNumberFormat="1" applyFont="1" applyFill="1" applyBorder="1" applyAlignment="1">
      <alignment horizontal="center" vertical="center"/>
    </xf>
    <xf numFmtId="0" fontId="8" fillId="7" borderId="6" xfId="3" applyFont="1" applyFill="1" applyBorder="1" applyAlignment="1">
      <alignment horizontal="justify" vertical="center"/>
    </xf>
    <xf numFmtId="0" fontId="8" fillId="0" borderId="0" xfId="3" applyFont="1" applyAlignment="1">
      <alignment horizontal="center" vertical="center"/>
    </xf>
    <xf numFmtId="0" fontId="7" fillId="0" borderId="0" xfId="3" applyFont="1" applyAlignment="1">
      <alignment horizontal="center" vertical="center"/>
    </xf>
    <xf numFmtId="0" fontId="8" fillId="0" borderId="6" xfId="3" applyFont="1" applyBorder="1" applyAlignment="1">
      <alignment horizontal="center" vertical="center"/>
    </xf>
    <xf numFmtId="0" fontId="8" fillId="0" borderId="0" xfId="3" applyFont="1"/>
    <xf numFmtId="0" fontId="7" fillId="0" borderId="0" xfId="3" applyFont="1" applyAlignment="1">
      <alignment horizontal="left"/>
    </xf>
    <xf numFmtId="0" fontId="7" fillId="0" borderId="0" xfId="3" applyFont="1" applyAlignment="1">
      <alignment horizontal="center"/>
    </xf>
    <xf numFmtId="0" fontId="7" fillId="0" borderId="0" xfId="3" applyFont="1"/>
    <xf numFmtId="0" fontId="7" fillId="0" borderId="7" xfId="3" applyFont="1" applyBorder="1" applyAlignment="1">
      <alignment horizontal="justify" vertical="center"/>
    </xf>
    <xf numFmtId="0" fontId="7" fillId="0" borderId="6" xfId="3" applyFont="1" applyBorder="1" applyAlignment="1">
      <alignment horizontal="justify" vertical="center"/>
    </xf>
    <xf numFmtId="0" fontId="8" fillId="0" borderId="1" xfId="3" applyFont="1" applyFill="1" applyBorder="1" applyAlignment="1">
      <alignment horizontal="center" vertical="center"/>
    </xf>
    <xf numFmtId="0" fontId="8" fillId="0" borderId="7" xfId="3" applyFont="1" applyFill="1" applyBorder="1" applyAlignment="1">
      <alignment horizontal="center" vertical="center" wrapText="1"/>
    </xf>
    <xf numFmtId="9" fontId="8" fillId="0" borderId="7" xfId="3" applyNumberFormat="1" applyFont="1" applyFill="1" applyBorder="1" applyAlignment="1">
      <alignment horizontal="center" vertical="center" wrapText="1"/>
    </xf>
    <xf numFmtId="2" fontId="8" fillId="0" borderId="7" xfId="3" applyNumberFormat="1" applyFont="1" applyFill="1" applyBorder="1" applyAlignment="1">
      <alignment horizontal="center" vertical="center" wrapText="1"/>
    </xf>
    <xf numFmtId="0" fontId="6" fillId="11" borderId="12" xfId="3" applyFont="1" applyFill="1" applyBorder="1" applyAlignment="1">
      <alignment horizontal="centerContinuous" vertical="center"/>
    </xf>
    <xf numFmtId="0" fontId="4" fillId="11" borderId="13" xfId="3" applyFont="1" applyFill="1" applyBorder="1" applyAlignment="1">
      <alignment horizontal="centerContinuous" vertical="center"/>
    </xf>
    <xf numFmtId="0" fontId="4" fillId="11" borderId="14" xfId="3" applyFont="1" applyFill="1" applyBorder="1" applyAlignment="1">
      <alignment horizontal="centerContinuous" vertical="center"/>
    </xf>
    <xf numFmtId="0" fontId="4" fillId="0" borderId="0" xfId="3" applyFont="1" applyAlignment="1">
      <alignment vertical="center"/>
    </xf>
    <xf numFmtId="1" fontId="8" fillId="0" borderId="0" xfId="3" applyNumberFormat="1" applyFont="1" applyFill="1" applyAlignment="1">
      <alignment horizontal="center" vertical="center"/>
    </xf>
    <xf numFmtId="2" fontId="7" fillId="0" borderId="0" xfId="3" applyNumberFormat="1" applyFont="1" applyFill="1" applyAlignment="1">
      <alignment horizontal="center" vertical="center"/>
    </xf>
    <xf numFmtId="2" fontId="8" fillId="0" borderId="6" xfId="3" applyNumberFormat="1" applyFont="1" applyFill="1" applyBorder="1" applyAlignment="1">
      <alignment horizontal="center" vertical="center"/>
    </xf>
    <xf numFmtId="0" fontId="7" fillId="0" borderId="6" xfId="3" applyFont="1" applyFill="1" applyBorder="1" applyAlignment="1">
      <alignment vertical="center" wrapText="1"/>
    </xf>
    <xf numFmtId="0" fontId="7" fillId="0" borderId="6" xfId="3" applyFont="1" applyFill="1" applyBorder="1" applyAlignment="1">
      <alignment wrapText="1"/>
    </xf>
    <xf numFmtId="0" fontId="7" fillId="0" borderId="7" xfId="3" applyFont="1" applyFill="1" applyBorder="1" applyAlignment="1">
      <alignment horizontal="justify" vertical="center" wrapText="1"/>
    </xf>
    <xf numFmtId="0" fontId="7" fillId="0" borderId="6" xfId="3" applyFont="1" applyFill="1" applyBorder="1" applyAlignment="1">
      <alignment vertical="top" wrapText="1"/>
    </xf>
    <xf numFmtId="0" fontId="8" fillId="7" borderId="1" xfId="3" applyFont="1" applyFill="1" applyBorder="1" applyAlignment="1">
      <alignment horizontal="center" vertical="center"/>
    </xf>
    <xf numFmtId="0" fontId="8" fillId="7" borderId="2" xfId="3" applyFont="1" applyFill="1" applyBorder="1" applyAlignment="1">
      <alignment vertical="center"/>
    </xf>
    <xf numFmtId="0" fontId="7" fillId="7" borderId="2" xfId="3" applyFont="1" applyFill="1" applyBorder="1" applyAlignment="1">
      <alignment vertical="center"/>
    </xf>
    <xf numFmtId="0" fontId="7" fillId="7" borderId="3"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vertical="center"/>
    </xf>
    <xf numFmtId="0" fontId="7" fillId="0" borderId="0" xfId="3" applyFont="1" applyFill="1" applyBorder="1" applyAlignment="1">
      <alignment vertical="center"/>
    </xf>
    <xf numFmtId="2" fontId="7" fillId="0" borderId="0" xfId="3" applyNumberFormat="1" applyFont="1" applyFill="1" applyBorder="1" applyAlignment="1">
      <alignment horizontal="center" vertical="center"/>
    </xf>
    <xf numFmtId="0" fontId="11" fillId="12" borderId="0" xfId="5" applyFont="1" applyFill="1" applyAlignment="1">
      <alignment horizontal="center"/>
    </xf>
    <xf numFmtId="0" fontId="14" fillId="0" borderId="0" xfId="0" applyFont="1" applyFill="1"/>
    <xf numFmtId="0" fontId="0" fillId="0" borderId="0" xfId="0" applyFont="1"/>
    <xf numFmtId="0" fontId="2" fillId="0" borderId="0" xfId="0" applyFont="1" applyAlignment="1">
      <alignment horizontal="center"/>
    </xf>
    <xf numFmtId="0" fontId="7" fillId="0" borderId="0" xfId="0" applyFont="1" applyAlignment="1">
      <alignment horizontal="center"/>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vertical="center" wrapText="1"/>
    </xf>
    <xf numFmtId="43" fontId="0" fillId="0" borderId="16" xfId="1" applyFont="1" applyBorder="1" applyAlignment="1">
      <alignment horizontal="center" vertical="center" wrapText="1"/>
    </xf>
    <xf numFmtId="0" fontId="0" fillId="0" borderId="16" xfId="0" applyFont="1" applyBorder="1" applyAlignment="1">
      <alignment horizontal="center" vertical="center" wrapText="1"/>
    </xf>
    <xf numFmtId="43" fontId="3" fillId="14" borderId="16" xfId="0" applyNumberFormat="1" applyFont="1" applyFill="1" applyBorder="1" applyAlignment="1">
      <alignment horizontal="center" vertical="center" wrapText="1"/>
    </xf>
    <xf numFmtId="43" fontId="0" fillId="0" borderId="0" xfId="0" applyNumberFormat="1" applyFont="1"/>
    <xf numFmtId="43" fontId="0" fillId="0" borderId="16" xfId="0" applyNumberFormat="1" applyFont="1" applyBorder="1" applyAlignment="1">
      <alignment horizontal="center" vertical="center" wrapText="1"/>
    </xf>
    <xf numFmtId="10" fontId="0" fillId="0" borderId="16" xfId="0" applyNumberFormat="1" applyFont="1" applyBorder="1" applyAlignment="1">
      <alignment horizontal="center" vertical="center" wrapText="1"/>
    </xf>
    <xf numFmtId="0" fontId="0" fillId="0" borderId="16" xfId="0" applyFont="1" applyFill="1" applyBorder="1" applyAlignment="1">
      <alignment vertical="center" wrapText="1"/>
    </xf>
    <xf numFmtId="0" fontId="0" fillId="0" borderId="16" xfId="0" applyFont="1" applyBorder="1" applyAlignment="1">
      <alignment vertical="center"/>
    </xf>
    <xf numFmtId="0" fontId="0" fillId="0" borderId="16" xfId="0" applyFont="1" applyBorder="1" applyAlignment="1">
      <alignment horizontal="justify" vertical="center"/>
    </xf>
    <xf numFmtId="167" fontId="0" fillId="0" borderId="16" xfId="0" applyNumberFormat="1" applyFont="1" applyBorder="1" applyAlignment="1">
      <alignment horizontal="center" vertical="center" wrapText="1"/>
    </xf>
    <xf numFmtId="43" fontId="0" fillId="0" borderId="0" xfId="1" applyFont="1"/>
    <xf numFmtId="0" fontId="0" fillId="0" borderId="16" xfId="0" applyFont="1" applyBorder="1" applyAlignment="1">
      <alignment horizontal="justify" vertical="center" wrapText="1"/>
    </xf>
    <xf numFmtId="167" fontId="0" fillId="0" borderId="16" xfId="0" applyNumberFormat="1" applyFont="1" applyFill="1" applyBorder="1" applyAlignment="1">
      <alignment horizontal="center" vertical="center" wrapText="1"/>
    </xf>
    <xf numFmtId="43" fontId="0" fillId="0" borderId="16" xfId="1" applyFont="1" applyFill="1" applyBorder="1" applyAlignment="1">
      <alignment horizontal="center" vertical="center" wrapText="1"/>
    </xf>
    <xf numFmtId="0" fontId="0" fillId="0" borderId="0" xfId="0" applyFont="1" applyFill="1"/>
    <xf numFmtId="0" fontId="3" fillId="0" borderId="0" xfId="0" applyFont="1" applyFill="1" applyAlignment="1">
      <alignment vertical="center"/>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4" fontId="0" fillId="0" borderId="16" xfId="0" applyNumberFormat="1" applyFont="1" applyFill="1" applyBorder="1" applyAlignment="1">
      <alignment horizontal="center" vertical="center" wrapText="1"/>
    </xf>
    <xf numFmtId="43" fontId="0" fillId="0" borderId="11" xfId="1"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4" xfId="0" applyFont="1" applyBorder="1" applyAlignment="1">
      <alignment vertical="center" wrapText="1"/>
    </xf>
    <xf numFmtId="10" fontId="0" fillId="0" borderId="16" xfId="2" applyNumberFormat="1" applyFont="1" applyBorder="1" applyAlignment="1">
      <alignment horizontal="center" vertical="center" wrapText="1"/>
    </xf>
    <xf numFmtId="10" fontId="3" fillId="14" borderId="16"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43" fontId="0" fillId="0" borderId="16" xfId="1" applyFont="1" applyBorder="1" applyAlignment="1">
      <alignment vertical="center" wrapText="1"/>
    </xf>
    <xf numFmtId="43" fontId="3" fillId="14" borderId="16" xfId="1" applyFont="1" applyFill="1" applyBorder="1" applyAlignment="1">
      <alignment vertical="center" wrapText="1"/>
    </xf>
    <xf numFmtId="43" fontId="3" fillId="14" borderId="11" xfId="1" applyFont="1" applyFill="1" applyBorder="1" applyAlignment="1">
      <alignment vertical="center" wrapText="1"/>
    </xf>
    <xf numFmtId="10" fontId="3" fillId="14" borderId="16" xfId="2" applyNumberFormat="1" applyFont="1" applyFill="1" applyBorder="1" applyAlignment="1">
      <alignment horizontal="center" vertical="center" wrapText="1"/>
    </xf>
    <xf numFmtId="0" fontId="3" fillId="2" borderId="6" xfId="0" applyFont="1" applyFill="1" applyBorder="1"/>
    <xf numFmtId="0" fontId="3" fillId="2" borderId="6" xfId="0" applyFont="1" applyFill="1" applyBorder="1" applyAlignment="1">
      <alignment horizontal="center"/>
    </xf>
    <xf numFmtId="0" fontId="0" fillId="0" borderId="6" xfId="0" applyBorder="1" applyAlignment="1">
      <alignment wrapText="1"/>
    </xf>
    <xf numFmtId="43" fontId="0" fillId="0" borderId="6" xfId="0" applyNumberFormat="1" applyBorder="1"/>
    <xf numFmtId="0" fontId="0" fillId="0" borderId="6" xfId="0" applyBorder="1" applyAlignment="1">
      <alignment horizontal="center"/>
    </xf>
    <xf numFmtId="43" fontId="0" fillId="0" borderId="6" xfId="0" applyNumberFormat="1" applyBorder="1" applyAlignment="1">
      <alignment horizontal="center"/>
    </xf>
    <xf numFmtId="43" fontId="0" fillId="0" borderId="6" xfId="1" applyFont="1" applyBorder="1" applyAlignment="1">
      <alignment horizontal="center"/>
    </xf>
    <xf numFmtId="0" fontId="0" fillId="0" borderId="0" xfId="0" applyAlignment="1">
      <alignment horizontal="center"/>
    </xf>
    <xf numFmtId="0" fontId="7" fillId="16" borderId="7" xfId="3" applyFont="1" applyFill="1" applyBorder="1" applyAlignment="1">
      <alignment horizontal="justify"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4" fontId="3" fillId="4" borderId="0" xfId="0" applyNumberFormat="1" applyFont="1" applyFill="1" applyBorder="1" applyAlignment="1">
      <alignment horizontal="center" vertical="center"/>
    </xf>
    <xf numFmtId="4" fontId="3" fillId="4" borderId="0" xfId="0" applyNumberFormat="1" applyFont="1" applyFill="1" applyBorder="1" applyAlignment="1">
      <alignment horizontal="right" vertical="center"/>
    </xf>
    <xf numFmtId="4" fontId="3" fillId="0" borderId="6" xfId="0" applyNumberFormat="1" applyFont="1" applyFill="1" applyBorder="1" applyAlignment="1">
      <alignment horizontal="center" vertical="center"/>
    </xf>
    <xf numFmtId="0" fontId="8" fillId="0" borderId="3" xfId="3" applyFont="1" applyBorder="1" applyAlignment="1">
      <alignment horizontal="center" vertical="center"/>
    </xf>
    <xf numFmtId="0" fontId="3" fillId="14" borderId="12" xfId="0" applyFont="1" applyFill="1" applyBorder="1" applyAlignment="1">
      <alignment horizontal="center" vertical="center" wrapText="1"/>
    </xf>
    <xf numFmtId="0" fontId="3" fillId="2" borderId="6" xfId="0" applyFont="1" applyFill="1" applyBorder="1" applyAlignment="1">
      <alignment horizontal="center"/>
    </xf>
    <xf numFmtId="0" fontId="0"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164" fontId="3" fillId="0" borderId="0" xfId="0" applyNumberFormat="1" applyFont="1" applyFill="1" applyAlignment="1">
      <alignment horizontal="center" vertical="center"/>
    </xf>
    <xf numFmtId="167" fontId="0" fillId="4" borderId="16" xfId="0" applyNumberFormat="1" applyFont="1" applyFill="1" applyBorder="1" applyAlignment="1">
      <alignment horizontal="center" vertical="center" wrapText="1"/>
    </xf>
    <xf numFmtId="0" fontId="0" fillId="0" borderId="0" xfId="0" applyBorder="1" applyAlignment="1">
      <alignment horizontal="left" wrapText="1"/>
    </xf>
    <xf numFmtId="43" fontId="0" fillId="0" borderId="0" xfId="1" applyFont="1" applyBorder="1" applyAlignment="1">
      <alignment horizontal="center"/>
    </xf>
    <xf numFmtId="0" fontId="0" fillId="0" borderId="0" xfId="0" applyBorder="1" applyAlignment="1">
      <alignment horizontal="center"/>
    </xf>
    <xf numFmtId="43" fontId="0" fillId="0" borderId="0" xfId="0" applyNumberFormat="1" applyBorder="1" applyAlignment="1">
      <alignment horizontal="center"/>
    </xf>
    <xf numFmtId="43" fontId="0" fillId="0" borderId="0" xfId="0" applyNumberFormat="1" applyBorder="1"/>
    <xf numFmtId="43" fontId="0" fillId="0" borderId="16" xfId="1" applyFont="1" applyBorder="1" applyAlignment="1">
      <alignment horizontal="right" vertical="center" wrapText="1"/>
    </xf>
    <xf numFmtId="4" fontId="3" fillId="4" borderId="0" xfId="0" applyNumberFormat="1" applyFont="1" applyFill="1" applyBorder="1" applyAlignment="1">
      <alignment vertical="center"/>
    </xf>
    <xf numFmtId="43" fontId="3" fillId="4" borderId="0" xfId="0" applyNumberFormat="1" applyFont="1" applyFill="1" applyBorder="1" applyAlignment="1">
      <alignment vertical="center"/>
    </xf>
    <xf numFmtId="10" fontId="7" fillId="10" borderId="16" xfId="0" applyNumberFormat="1" applyFont="1" applyFill="1" applyBorder="1" applyAlignment="1">
      <alignment horizontal="center" vertical="center" wrapText="1"/>
    </xf>
    <xf numFmtId="164" fontId="16" fillId="0" borderId="0" xfId="0" applyNumberFormat="1" applyFont="1" applyFill="1" applyAlignment="1">
      <alignment horizontal="center" vertical="center"/>
    </xf>
    <xf numFmtId="164" fontId="16" fillId="0" borderId="0" xfId="0" applyNumberFormat="1" applyFont="1" applyAlignment="1">
      <alignment horizontal="center" vertical="center"/>
    </xf>
    <xf numFmtId="0" fontId="3" fillId="14" borderId="12"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12" borderId="0" xfId="0" applyFont="1" applyFill="1" applyAlignment="1">
      <alignment horizontal="center"/>
    </xf>
    <xf numFmtId="0" fontId="2" fillId="0" borderId="0" xfId="0" applyFont="1" applyAlignment="1">
      <alignment horizontal="center"/>
    </xf>
    <xf numFmtId="164" fontId="7" fillId="0" borderId="0" xfId="3" applyNumberFormat="1" applyFont="1" applyAlignment="1">
      <alignment horizontal="center" vertical="center"/>
    </xf>
    <xf numFmtId="4" fontId="7" fillId="0" borderId="0" xfId="3" applyNumberFormat="1" applyFont="1" applyAlignment="1">
      <alignment horizontal="center" vertical="center"/>
    </xf>
    <xf numFmtId="164" fontId="7" fillId="0" borderId="0" xfId="3" applyNumberFormat="1" applyFont="1" applyAlignment="1">
      <alignment vertical="center"/>
    </xf>
    <xf numFmtId="43" fontId="0" fillId="0" borderId="6" xfId="1" applyFont="1" applyBorder="1" applyAlignment="1">
      <alignment vertical="center"/>
    </xf>
    <xf numFmtId="43" fontId="0" fillId="0" borderId="6" xfId="1" applyFont="1" applyBorder="1" applyAlignment="1">
      <alignment horizontal="right"/>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7" fillId="0" borderId="3" xfId="0" applyFont="1" applyBorder="1" applyAlignment="1">
      <alignment horizontal="center" vertical="center"/>
    </xf>
    <xf numFmtId="0" fontId="8" fillId="2" borderId="3"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3" xfId="3" applyFont="1" applyFill="1" applyBorder="1" applyAlignment="1">
      <alignment horizontal="center" vertical="center" wrapText="1"/>
    </xf>
    <xf numFmtId="0" fontId="4" fillId="12" borderId="0" xfId="0" applyFont="1" applyFill="1" applyAlignment="1">
      <alignment horizontal="center"/>
    </xf>
    <xf numFmtId="0" fontId="8" fillId="2" borderId="6" xfId="0" applyFont="1" applyFill="1" applyBorder="1" applyAlignment="1">
      <alignment horizontal="center" vertical="center"/>
    </xf>
    <xf numFmtId="164" fontId="8" fillId="8" borderId="2" xfId="3" applyNumberFormat="1" applyFont="1" applyFill="1" applyBorder="1" applyAlignment="1">
      <alignment horizontal="center" vertical="center"/>
    </xf>
    <xf numFmtId="0" fontId="8" fillId="2" borderId="1" xfId="0" applyFont="1" applyFill="1" applyBorder="1" applyAlignment="1">
      <alignment horizontal="centerContinuous"/>
    </xf>
    <xf numFmtId="0" fontId="7" fillId="2" borderId="2" xfId="0" applyFont="1" applyFill="1" applyBorder="1" applyAlignment="1">
      <alignment horizontal="centerContinuous"/>
    </xf>
    <xf numFmtId="0" fontId="7" fillId="2" borderId="3" xfId="0" applyFont="1" applyFill="1" applyBorder="1" applyAlignment="1">
      <alignment horizontal="centerContinuous"/>
    </xf>
    <xf numFmtId="0" fontId="7" fillId="0" borderId="0" xfId="0" applyFont="1"/>
    <xf numFmtId="4" fontId="8" fillId="0" borderId="6" xfId="0" applyNumberFormat="1" applyFont="1" applyBorder="1"/>
    <xf numFmtId="0" fontId="8" fillId="0" borderId="0" xfId="0" applyFont="1"/>
    <xf numFmtId="0" fontId="8" fillId="0" borderId="0" xfId="0" applyFont="1" applyAlignment="1">
      <alignment horizontal="center"/>
    </xf>
    <xf numFmtId="43" fontId="8" fillId="2" borderId="6" xfId="1" applyFont="1" applyFill="1" applyBorder="1" applyAlignment="1">
      <alignment horizontal="center" vertical="center"/>
    </xf>
    <xf numFmtId="43" fontId="7" fillId="0" borderId="6" xfId="1" applyFont="1" applyBorder="1"/>
    <xf numFmtId="0" fontId="7" fillId="0" borderId="6" xfId="0" applyFont="1" applyBorder="1" applyAlignment="1">
      <alignment horizontal="center"/>
    </xf>
    <xf numFmtId="10" fontId="7" fillId="0" borderId="6" xfId="0" applyNumberFormat="1" applyFont="1" applyBorder="1"/>
    <xf numFmtId="168" fontId="7" fillId="0" borderId="6" xfId="1" applyNumberFormat="1" applyFont="1" applyBorder="1"/>
    <xf numFmtId="43" fontId="7" fillId="0" borderId="6" xfId="0" applyNumberFormat="1" applyFont="1" applyBorder="1"/>
    <xf numFmtId="0" fontId="7" fillId="0" borderId="6" xfId="0" applyFont="1" applyBorder="1"/>
    <xf numFmtId="9" fontId="7" fillId="0" borderId="6" xfId="0" applyNumberFormat="1" applyFont="1" applyBorder="1"/>
    <xf numFmtId="43" fontId="7" fillId="10" borderId="6" xfId="1" applyFont="1" applyFill="1" applyBorder="1"/>
    <xf numFmtId="0" fontId="7" fillId="10" borderId="6" xfId="0" applyFont="1" applyFill="1" applyBorder="1" applyAlignment="1">
      <alignment horizontal="center"/>
    </xf>
    <xf numFmtId="10" fontId="7" fillId="10" borderId="6" xfId="0" applyNumberFormat="1" applyFont="1" applyFill="1" applyBorder="1"/>
    <xf numFmtId="168" fontId="7" fillId="10" borderId="6" xfId="1" applyNumberFormat="1" applyFont="1" applyFill="1" applyBorder="1"/>
    <xf numFmtId="168" fontId="7" fillId="0" borderId="6" xfId="0" applyNumberFormat="1" applyFont="1" applyBorder="1"/>
    <xf numFmtId="43" fontId="7" fillId="10" borderId="6" xfId="0" applyNumberFormat="1" applyFont="1" applyFill="1" applyBorder="1"/>
    <xf numFmtId="0" fontId="3" fillId="4" borderId="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8" fillId="2" borderId="6" xfId="0" applyFont="1" applyFill="1" applyBorder="1" applyAlignment="1">
      <alignment horizontal="center" vertical="center"/>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8" fillId="7" borderId="1" xfId="3" applyFont="1" applyFill="1" applyBorder="1" applyAlignment="1">
      <alignment horizontal="center" vertical="center"/>
    </xf>
    <xf numFmtId="0" fontId="8" fillId="7" borderId="2" xfId="3" applyFont="1" applyFill="1" applyBorder="1" applyAlignment="1">
      <alignment horizontal="center" vertical="center"/>
    </xf>
    <xf numFmtId="0" fontId="8" fillId="7" borderId="3" xfId="3" applyFont="1" applyFill="1" applyBorder="1" applyAlignment="1">
      <alignment horizontal="center" vertical="center"/>
    </xf>
    <xf numFmtId="0" fontId="3" fillId="15" borderId="0" xfId="0" applyFont="1" applyFill="1" applyBorder="1" applyAlignment="1">
      <alignment horizontal="center" vertical="center"/>
    </xf>
    <xf numFmtId="0" fontId="4" fillId="12" borderId="0" xfId="0" applyFont="1" applyFill="1" applyAlignment="1">
      <alignment horizontal="center"/>
    </xf>
    <xf numFmtId="0" fontId="2" fillId="0" borderId="0" xfId="0" applyFont="1" applyAlignment="1">
      <alignment horizontal="center"/>
    </xf>
    <xf numFmtId="0" fontId="3" fillId="9" borderId="0" xfId="0" applyFont="1" applyFill="1" applyAlignment="1">
      <alignment horizontal="center" wrapText="1"/>
    </xf>
    <xf numFmtId="0" fontId="3" fillId="9" borderId="0" xfId="0" applyFont="1" applyFill="1" applyAlignment="1">
      <alignment horizontal="center"/>
    </xf>
    <xf numFmtId="0" fontId="3" fillId="13" borderId="0" xfId="0" applyFont="1" applyFill="1" applyBorder="1" applyAlignment="1">
      <alignment horizontal="center" vertical="center"/>
    </xf>
    <xf numFmtId="0" fontId="3" fillId="14" borderId="12"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3" fillId="13" borderId="0" xfId="0" applyFont="1" applyFill="1" applyAlignment="1">
      <alignment horizontal="center" vertical="center"/>
    </xf>
    <xf numFmtId="0" fontId="3" fillId="15" borderId="0" xfId="0" applyFont="1" applyFill="1" applyBorder="1" applyAlignment="1">
      <alignment horizontal="center" vertical="center" wrapText="1"/>
    </xf>
    <xf numFmtId="0" fontId="15" fillId="17" borderId="0" xfId="0" applyFont="1" applyFill="1" applyBorder="1" applyAlignment="1">
      <alignment horizontal="justify" vertical="center" wrapText="1"/>
    </xf>
    <xf numFmtId="0" fontId="18" fillId="17" borderId="0" xfId="0" applyFont="1" applyFill="1" applyBorder="1" applyAlignment="1">
      <alignment horizontal="justify"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9" borderId="0" xfId="0" applyFont="1" applyFill="1" applyAlignment="1">
      <alignment horizontal="center" vertical="center" wrapText="1"/>
    </xf>
    <xf numFmtId="0" fontId="3" fillId="9" borderId="0" xfId="0" applyFont="1" applyFill="1" applyAlignment="1">
      <alignment horizontal="center" vertical="center"/>
    </xf>
    <xf numFmtId="0" fontId="3" fillId="2" borderId="6"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0" fillId="0" borderId="1" xfId="0" applyBorder="1" applyAlignment="1">
      <alignment horizontal="left" wrapText="1"/>
    </xf>
    <xf numFmtId="0" fontId="0" fillId="0" borderId="3" xfId="0" applyBorder="1" applyAlignment="1">
      <alignment horizontal="left" wrapText="1"/>
    </xf>
    <xf numFmtId="0" fontId="0" fillId="0" borderId="0" xfId="0" applyAlignment="1">
      <alignment horizontal="left" wrapText="1"/>
    </xf>
    <xf numFmtId="0" fontId="0" fillId="0" borderId="1" xfId="0" applyBorder="1" applyAlignment="1">
      <alignment horizontal="center"/>
    </xf>
    <xf numFmtId="0" fontId="0" fillId="0" borderId="3" xfId="0" applyBorder="1" applyAlignment="1">
      <alignment horizontal="center"/>
    </xf>
    <xf numFmtId="0" fontId="19" fillId="0" borderId="17" xfId="0" applyFont="1" applyBorder="1" applyAlignment="1">
      <alignment horizontal="center"/>
    </xf>
    <xf numFmtId="0" fontId="19" fillId="0" borderId="0" xfId="0" applyFont="1" applyAlignment="1">
      <alignment horizontal="center"/>
    </xf>
    <xf numFmtId="4" fontId="0" fillId="0" borderId="6" xfId="0" applyNumberFormat="1" applyFont="1" applyFill="1" applyBorder="1" applyAlignment="1">
      <alignment horizontal="right" vertical="center"/>
    </xf>
  </cellXfs>
  <cellStyles count="6">
    <cellStyle name="Hiperlink" xfId="5" builtinId="8"/>
    <cellStyle name="Normal" xfId="0" builtinId="0"/>
    <cellStyle name="Normal 2 2" xfId="3"/>
    <cellStyle name="Porcentagem" xfId="2" builtinId="5"/>
    <cellStyle name="Vírgula" xfId="1" builtinId="3"/>
    <cellStyle name="Vírgula 2"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26</xdr:row>
      <xdr:rowOff>0</xdr:rowOff>
    </xdr:from>
    <xdr:to>
      <xdr:col>12</xdr:col>
      <xdr:colOff>304800</xdr:colOff>
      <xdr:row>27</xdr:row>
      <xdr:rowOff>158749</xdr:rowOff>
    </xdr:to>
    <xdr:sp macro="" textlink="">
      <xdr:nvSpPr>
        <xdr:cNvPr id="67" name="srpresultimg_3363435771116489834" descr="Luva Segurança Latex Antiderrapante Multiuso Eccofer Tamanho M">
          <a:extLst>
            <a:ext uri="{FF2B5EF4-FFF2-40B4-BE49-F238E27FC236}">
              <a16:creationId xmlns:a16="http://schemas.microsoft.com/office/drawing/2014/main" xmlns="" id="{00000000-0008-0000-0600-000003000000}"/>
            </a:ext>
          </a:extLst>
        </xdr:cNvPr>
        <xdr:cNvSpPr>
          <a:spLocks noChangeAspect="1" noChangeArrowheads="1"/>
        </xdr:cNvSpPr>
      </xdr:nvSpPr>
      <xdr:spPr bwMode="auto">
        <a:xfrm>
          <a:off x="13954125" y="5905500"/>
          <a:ext cx="304800" cy="3492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26</xdr:row>
      <xdr:rowOff>0</xdr:rowOff>
    </xdr:from>
    <xdr:ext cx="304800" cy="304800"/>
    <xdr:sp macro="" textlink="">
      <xdr:nvSpPr>
        <xdr:cNvPr id="68" name="srpresultimg_3363435771116489834" descr="Luva Segurança Latex Antiderrapante Multiuso Eccofer Tamanho M">
          <a:extLst>
            <a:ext uri="{FF2B5EF4-FFF2-40B4-BE49-F238E27FC236}">
              <a16:creationId xmlns:a16="http://schemas.microsoft.com/office/drawing/2014/main" xmlns="" id="{00000000-0008-0000-0600-000004000000}"/>
            </a:ext>
          </a:extLst>
        </xdr:cNvPr>
        <xdr:cNvSpPr>
          <a:spLocks noChangeAspect="1" noChangeArrowheads="1"/>
        </xdr:cNvSpPr>
      </xdr:nvSpPr>
      <xdr:spPr bwMode="auto">
        <a:xfrm>
          <a:off x="13954125" y="590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69" name="srpresultimg_3363435771116489834" descr="Luva Segurança Latex Antiderrapante Multiuso Eccofer Tamanho M">
          <a:extLst>
            <a:ext uri="{FF2B5EF4-FFF2-40B4-BE49-F238E27FC236}">
              <a16:creationId xmlns:a16="http://schemas.microsoft.com/office/drawing/2014/main" xmlns="" id="{00000000-0008-0000-0600-000005000000}"/>
            </a:ext>
          </a:extLst>
        </xdr:cNvPr>
        <xdr:cNvSpPr>
          <a:spLocks noChangeAspect="1" noChangeArrowheads="1"/>
        </xdr:cNvSpPr>
      </xdr:nvSpPr>
      <xdr:spPr bwMode="auto">
        <a:xfrm>
          <a:off x="13954125" y="590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17</xdr:col>
      <xdr:colOff>0</xdr:colOff>
      <xdr:row>60</xdr:row>
      <xdr:rowOff>0</xdr:rowOff>
    </xdr:from>
    <xdr:to>
      <xdr:col>17</xdr:col>
      <xdr:colOff>304800</xdr:colOff>
      <xdr:row>61</xdr:row>
      <xdr:rowOff>114300</xdr:rowOff>
    </xdr:to>
    <xdr:sp macro="" textlink="">
      <xdr:nvSpPr>
        <xdr:cNvPr id="70" name="srpresultimg_11719798104974158439" descr="Podador de Cerca Viva Gasolina VP2450 1,10HP 2T 24,5cc Profissional Vulcan">
          <a:extLst>
            <a:ext uri="{FF2B5EF4-FFF2-40B4-BE49-F238E27FC236}">
              <a16:creationId xmlns:a16="http://schemas.microsoft.com/office/drawing/2014/main" xmlns="" id="{00000000-0008-0000-0600-000006000000}"/>
            </a:ext>
          </a:extLst>
        </xdr:cNvPr>
        <xdr:cNvSpPr>
          <a:spLocks noChangeAspect="1" noChangeArrowheads="1"/>
        </xdr:cNvSpPr>
      </xdr:nvSpPr>
      <xdr:spPr bwMode="auto">
        <a:xfrm>
          <a:off x="18335625" y="3184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54</xdr:row>
      <xdr:rowOff>0</xdr:rowOff>
    </xdr:from>
    <xdr:to>
      <xdr:col>14</xdr:col>
      <xdr:colOff>304800</xdr:colOff>
      <xdr:row>54</xdr:row>
      <xdr:rowOff>190500</xdr:rowOff>
    </xdr:to>
    <xdr:sp macro="" textlink="">
      <xdr:nvSpPr>
        <xdr:cNvPr id="71" name="srpresultimg_7827143538601718134" descr="Serrote De Poda 12 Pol">
          <a:extLst>
            <a:ext uri="{FF2B5EF4-FFF2-40B4-BE49-F238E27FC236}">
              <a16:creationId xmlns:a16="http://schemas.microsoft.com/office/drawing/2014/main" xmlns="" id="{00000000-0008-0000-0600-000007000000}"/>
            </a:ext>
          </a:extLst>
        </xdr:cNvPr>
        <xdr:cNvSpPr>
          <a:spLocks noChangeAspect="1" noChangeArrowheads="1"/>
        </xdr:cNvSpPr>
      </xdr:nvSpPr>
      <xdr:spPr bwMode="auto">
        <a:xfrm>
          <a:off x="16259175" y="2974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26</xdr:row>
      <xdr:rowOff>0</xdr:rowOff>
    </xdr:from>
    <xdr:ext cx="304800" cy="352425"/>
    <xdr:sp macro="" textlink="">
      <xdr:nvSpPr>
        <xdr:cNvPr id="72"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525750" y="5905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26</xdr:row>
      <xdr:rowOff>0</xdr:rowOff>
    </xdr:from>
    <xdr:ext cx="304800" cy="304800"/>
    <xdr:sp macro="" textlink="">
      <xdr:nvSpPr>
        <xdr:cNvPr id="73"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525750" y="590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52425"/>
    <xdr:sp macro="" textlink="">
      <xdr:nvSpPr>
        <xdr:cNvPr id="74" name="srpresultimg_3363435771116489834" descr="Luva Segurança Latex Antiderrapante Multiuso Eccofer Tamanho M">
          <a:extLst>
            <a:ext uri="{FF2B5EF4-FFF2-40B4-BE49-F238E27FC236}">
              <a16:creationId xmlns:a16="http://schemas.microsoft.com/office/drawing/2014/main" xmlns="" id="{00000000-0008-0000-0600-00000A000000}"/>
            </a:ext>
          </a:extLst>
        </xdr:cNvPr>
        <xdr:cNvSpPr>
          <a:spLocks noChangeAspect="1" noChangeArrowheads="1"/>
        </xdr:cNvSpPr>
      </xdr:nvSpPr>
      <xdr:spPr bwMode="auto">
        <a:xfrm>
          <a:off x="13954125" y="5905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75" name="srpresultimg_3363435771116489834" descr="Luva Segurança Latex Antiderrapante Multiuso Eccofer Tamanho M">
          <a:extLst>
            <a:ext uri="{FF2B5EF4-FFF2-40B4-BE49-F238E27FC236}">
              <a16:creationId xmlns:a16="http://schemas.microsoft.com/office/drawing/2014/main" xmlns="" id="{00000000-0008-0000-0600-00000B000000}"/>
            </a:ext>
          </a:extLst>
        </xdr:cNvPr>
        <xdr:cNvSpPr>
          <a:spLocks noChangeAspect="1" noChangeArrowheads="1"/>
        </xdr:cNvSpPr>
      </xdr:nvSpPr>
      <xdr:spPr bwMode="auto">
        <a:xfrm>
          <a:off x="13954125" y="590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26</xdr:row>
      <xdr:rowOff>0</xdr:rowOff>
    </xdr:from>
    <xdr:ext cx="304800" cy="352425"/>
    <xdr:sp macro="" textlink="">
      <xdr:nvSpPr>
        <xdr:cNvPr id="76"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525750" y="5905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26</xdr:row>
      <xdr:rowOff>0</xdr:rowOff>
    </xdr:from>
    <xdr:ext cx="304800" cy="304800"/>
    <xdr:sp macro="" textlink="">
      <xdr:nvSpPr>
        <xdr:cNvPr id="77"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525750" y="590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60</xdr:row>
      <xdr:rowOff>0</xdr:rowOff>
    </xdr:from>
    <xdr:ext cx="304800" cy="352425"/>
    <xdr:sp macro="" textlink="">
      <xdr:nvSpPr>
        <xdr:cNvPr id="78" name="srpresultimg_3363435771116489834" descr="Luva Segurança Latex Antiderrapante Multiuso Eccofer Tamanho M">
          <a:extLst>
            <a:ext uri="{FF2B5EF4-FFF2-40B4-BE49-F238E27FC236}">
              <a16:creationId xmlns:a16="http://schemas.microsoft.com/office/drawing/2014/main" xmlns="" id="{00000000-0008-0000-0600-00000E000000}"/>
            </a:ext>
          </a:extLst>
        </xdr:cNvPr>
        <xdr:cNvSpPr>
          <a:spLocks noChangeAspect="1" noChangeArrowheads="1"/>
        </xdr:cNvSpPr>
      </xdr:nvSpPr>
      <xdr:spPr bwMode="auto">
        <a:xfrm>
          <a:off x="13954125" y="31842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60</xdr:row>
      <xdr:rowOff>0</xdr:rowOff>
    </xdr:from>
    <xdr:ext cx="304800" cy="304800"/>
    <xdr:sp macro="" textlink="">
      <xdr:nvSpPr>
        <xdr:cNvPr id="79" name="srpresultimg_3363435771116489834" descr="Luva Segurança Latex Antiderrapante Multiuso Eccofer Tamanho M">
          <a:extLst>
            <a:ext uri="{FF2B5EF4-FFF2-40B4-BE49-F238E27FC236}">
              <a16:creationId xmlns:a16="http://schemas.microsoft.com/office/drawing/2014/main" xmlns="" id="{00000000-0008-0000-0600-00000F000000}"/>
            </a:ext>
          </a:extLst>
        </xdr:cNvPr>
        <xdr:cNvSpPr>
          <a:spLocks noChangeAspect="1" noChangeArrowheads="1"/>
        </xdr:cNvSpPr>
      </xdr:nvSpPr>
      <xdr:spPr bwMode="auto">
        <a:xfrm>
          <a:off x="13954125" y="3184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60</xdr:row>
      <xdr:rowOff>0</xdr:rowOff>
    </xdr:from>
    <xdr:ext cx="304800" cy="352425"/>
    <xdr:sp macro="" textlink="">
      <xdr:nvSpPr>
        <xdr:cNvPr id="80" name="srpresultimg_3363435771116489834" descr="Luva Segurança Latex Antiderrapante Multiuso Eccofer Tamanho M">
          <a:extLst>
            <a:ext uri="{FF2B5EF4-FFF2-40B4-BE49-F238E27FC236}">
              <a16:creationId xmlns:a16="http://schemas.microsoft.com/office/drawing/2014/main" xmlns="" id="{00000000-0008-0000-0600-000010000000}"/>
            </a:ext>
          </a:extLst>
        </xdr:cNvPr>
        <xdr:cNvSpPr>
          <a:spLocks noChangeAspect="1" noChangeArrowheads="1"/>
        </xdr:cNvSpPr>
      </xdr:nvSpPr>
      <xdr:spPr bwMode="auto">
        <a:xfrm>
          <a:off x="15525750" y="31842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60</xdr:row>
      <xdr:rowOff>0</xdr:rowOff>
    </xdr:from>
    <xdr:ext cx="304800" cy="304800"/>
    <xdr:sp macro="" textlink="">
      <xdr:nvSpPr>
        <xdr:cNvPr id="81" name="srpresultimg_3363435771116489834" descr="Luva Segurança Latex Antiderrapante Multiuso Eccofer Tamanho M">
          <a:extLst>
            <a:ext uri="{FF2B5EF4-FFF2-40B4-BE49-F238E27FC236}">
              <a16:creationId xmlns:a16="http://schemas.microsoft.com/office/drawing/2014/main" xmlns="" id="{00000000-0008-0000-0600-000011000000}"/>
            </a:ext>
          </a:extLst>
        </xdr:cNvPr>
        <xdr:cNvSpPr>
          <a:spLocks noChangeAspect="1" noChangeArrowheads="1"/>
        </xdr:cNvSpPr>
      </xdr:nvSpPr>
      <xdr:spPr bwMode="auto">
        <a:xfrm>
          <a:off x="15525750" y="3184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60</xdr:row>
      <xdr:rowOff>0</xdr:rowOff>
    </xdr:from>
    <xdr:ext cx="304800" cy="352425"/>
    <xdr:sp macro="" textlink="">
      <xdr:nvSpPr>
        <xdr:cNvPr id="82" name="srpresultimg_3363435771116489834" descr="Luva Segurança Latex Antiderrapante Multiuso Eccofer Tamanho M">
          <a:extLst>
            <a:ext uri="{FF2B5EF4-FFF2-40B4-BE49-F238E27FC236}">
              <a16:creationId xmlns:a16="http://schemas.microsoft.com/office/drawing/2014/main" xmlns="" id="{00000000-0008-0000-0600-000012000000}"/>
            </a:ext>
          </a:extLst>
        </xdr:cNvPr>
        <xdr:cNvSpPr>
          <a:spLocks noChangeAspect="1" noChangeArrowheads="1"/>
        </xdr:cNvSpPr>
      </xdr:nvSpPr>
      <xdr:spPr bwMode="auto">
        <a:xfrm>
          <a:off x="13954125" y="31842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60</xdr:row>
      <xdr:rowOff>0</xdr:rowOff>
    </xdr:from>
    <xdr:ext cx="304800" cy="304800"/>
    <xdr:sp macro="" textlink="">
      <xdr:nvSpPr>
        <xdr:cNvPr id="83" name="srpresultimg_3363435771116489834" descr="Luva Segurança Latex Antiderrapante Multiuso Eccofer Tamanho M">
          <a:extLst>
            <a:ext uri="{FF2B5EF4-FFF2-40B4-BE49-F238E27FC236}">
              <a16:creationId xmlns:a16="http://schemas.microsoft.com/office/drawing/2014/main" xmlns="" id="{00000000-0008-0000-0600-000013000000}"/>
            </a:ext>
          </a:extLst>
        </xdr:cNvPr>
        <xdr:cNvSpPr>
          <a:spLocks noChangeAspect="1" noChangeArrowheads="1"/>
        </xdr:cNvSpPr>
      </xdr:nvSpPr>
      <xdr:spPr bwMode="auto">
        <a:xfrm>
          <a:off x="13954125" y="3184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60</xdr:row>
      <xdr:rowOff>0</xdr:rowOff>
    </xdr:from>
    <xdr:ext cx="304800" cy="352425"/>
    <xdr:sp macro="" textlink="">
      <xdr:nvSpPr>
        <xdr:cNvPr id="84" name="srpresultimg_3363435771116489834" descr="Luva Segurança Latex Antiderrapante Multiuso Eccofer Tamanho M">
          <a:extLst>
            <a:ext uri="{FF2B5EF4-FFF2-40B4-BE49-F238E27FC236}">
              <a16:creationId xmlns:a16="http://schemas.microsoft.com/office/drawing/2014/main" xmlns="" id="{00000000-0008-0000-0600-000014000000}"/>
            </a:ext>
          </a:extLst>
        </xdr:cNvPr>
        <xdr:cNvSpPr>
          <a:spLocks noChangeAspect="1" noChangeArrowheads="1"/>
        </xdr:cNvSpPr>
      </xdr:nvSpPr>
      <xdr:spPr bwMode="auto">
        <a:xfrm>
          <a:off x="15525750" y="31842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60</xdr:row>
      <xdr:rowOff>0</xdr:rowOff>
    </xdr:from>
    <xdr:ext cx="304800" cy="304800"/>
    <xdr:sp macro="" textlink="">
      <xdr:nvSpPr>
        <xdr:cNvPr id="85" name="srpresultimg_3363435771116489834" descr="Luva Segurança Latex Antiderrapante Multiuso Eccofer Tamanho M">
          <a:extLst>
            <a:ext uri="{FF2B5EF4-FFF2-40B4-BE49-F238E27FC236}">
              <a16:creationId xmlns:a16="http://schemas.microsoft.com/office/drawing/2014/main" xmlns="" id="{00000000-0008-0000-0600-000015000000}"/>
            </a:ext>
          </a:extLst>
        </xdr:cNvPr>
        <xdr:cNvSpPr>
          <a:spLocks noChangeAspect="1" noChangeArrowheads="1"/>
        </xdr:cNvSpPr>
      </xdr:nvSpPr>
      <xdr:spPr bwMode="auto">
        <a:xfrm>
          <a:off x="15525750" y="3184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0</xdr:colOff>
      <xdr:row>30</xdr:row>
      <xdr:rowOff>0</xdr:rowOff>
    </xdr:from>
    <xdr:to>
      <xdr:col>12</xdr:col>
      <xdr:colOff>304800</xdr:colOff>
      <xdr:row>31</xdr:row>
      <xdr:rowOff>193675</xdr:rowOff>
    </xdr:to>
    <xdr:sp macro="" textlink="">
      <xdr:nvSpPr>
        <xdr:cNvPr id="86" name="srpresultimg_3363435771116489834" descr="Luva Segurança Latex Antiderrapante Multiuso Eccofer Tamanho M">
          <a:extLst>
            <a:ext uri="{FF2B5EF4-FFF2-40B4-BE49-F238E27FC236}">
              <a16:creationId xmlns:a16="http://schemas.microsoft.com/office/drawing/2014/main" xmlns="" id="{00000000-0008-0000-0600-000018000000}"/>
            </a:ext>
          </a:extLst>
        </xdr:cNvPr>
        <xdr:cNvSpPr>
          <a:spLocks noChangeAspect="1" noChangeArrowheads="1"/>
        </xdr:cNvSpPr>
      </xdr:nvSpPr>
      <xdr:spPr bwMode="auto">
        <a:xfrm>
          <a:off x="13954125" y="14506575"/>
          <a:ext cx="304800" cy="669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30</xdr:row>
      <xdr:rowOff>0</xdr:rowOff>
    </xdr:from>
    <xdr:ext cx="304800" cy="304800"/>
    <xdr:sp macro="" textlink="">
      <xdr:nvSpPr>
        <xdr:cNvPr id="87" name="srpresultimg_3363435771116489834" descr="Luva Segurança Latex Antiderrapante Multiuso Eccofer Tamanho M">
          <a:extLst>
            <a:ext uri="{FF2B5EF4-FFF2-40B4-BE49-F238E27FC236}">
              <a16:creationId xmlns:a16="http://schemas.microsoft.com/office/drawing/2014/main" xmlns="" id="{00000000-0008-0000-0600-00001A000000}"/>
            </a:ext>
          </a:extLst>
        </xdr:cNvPr>
        <xdr:cNvSpPr>
          <a:spLocks noChangeAspect="1" noChangeArrowheads="1"/>
        </xdr:cNvSpPr>
      </xdr:nvSpPr>
      <xdr:spPr bwMode="auto">
        <a:xfrm>
          <a:off x="13954125" y="1450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54</xdr:row>
      <xdr:rowOff>0</xdr:rowOff>
    </xdr:from>
    <xdr:to>
      <xdr:col>14</xdr:col>
      <xdr:colOff>304800</xdr:colOff>
      <xdr:row>54</xdr:row>
      <xdr:rowOff>190500</xdr:rowOff>
    </xdr:to>
    <xdr:sp macro="" textlink="">
      <xdr:nvSpPr>
        <xdr:cNvPr id="88" name="srpresultimg_7827143538601718134" descr="Serrote De Poda 12 Pol">
          <a:extLst>
            <a:ext uri="{FF2B5EF4-FFF2-40B4-BE49-F238E27FC236}">
              <a16:creationId xmlns:a16="http://schemas.microsoft.com/office/drawing/2014/main" xmlns="" id="{00000000-0008-0000-0600-00001B000000}"/>
            </a:ext>
          </a:extLst>
        </xdr:cNvPr>
        <xdr:cNvSpPr>
          <a:spLocks noChangeAspect="1" noChangeArrowheads="1"/>
        </xdr:cNvSpPr>
      </xdr:nvSpPr>
      <xdr:spPr bwMode="auto">
        <a:xfrm>
          <a:off x="16259175" y="2974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30</xdr:row>
      <xdr:rowOff>0</xdr:rowOff>
    </xdr:from>
    <xdr:ext cx="304800" cy="352425"/>
    <xdr:sp macro="" textlink="">
      <xdr:nvSpPr>
        <xdr:cNvPr id="89" name="srpresultimg_3363435771116489834" descr="Luva Segurança Latex Antiderrapante Multiuso Eccofer Tamanho M">
          <a:extLst>
            <a:ext uri="{FF2B5EF4-FFF2-40B4-BE49-F238E27FC236}">
              <a16:creationId xmlns:a16="http://schemas.microsoft.com/office/drawing/2014/main" xmlns="" id="{00000000-0008-0000-0600-00001F000000}"/>
            </a:ext>
          </a:extLst>
        </xdr:cNvPr>
        <xdr:cNvSpPr>
          <a:spLocks noChangeAspect="1" noChangeArrowheads="1"/>
        </xdr:cNvSpPr>
      </xdr:nvSpPr>
      <xdr:spPr bwMode="auto">
        <a:xfrm>
          <a:off x="15525750" y="145065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30</xdr:row>
      <xdr:rowOff>0</xdr:rowOff>
    </xdr:from>
    <xdr:ext cx="304800" cy="304800"/>
    <xdr:sp macro="" textlink="">
      <xdr:nvSpPr>
        <xdr:cNvPr id="90" name="srpresultimg_3363435771116489834" descr="Luva Segurança Latex Antiderrapante Multiuso Eccofer Tamanho M">
          <a:extLst>
            <a:ext uri="{FF2B5EF4-FFF2-40B4-BE49-F238E27FC236}">
              <a16:creationId xmlns:a16="http://schemas.microsoft.com/office/drawing/2014/main" xmlns="" id="{00000000-0008-0000-0600-000020000000}"/>
            </a:ext>
          </a:extLst>
        </xdr:cNvPr>
        <xdr:cNvSpPr>
          <a:spLocks noChangeAspect="1" noChangeArrowheads="1"/>
        </xdr:cNvSpPr>
      </xdr:nvSpPr>
      <xdr:spPr bwMode="auto">
        <a:xfrm>
          <a:off x="15525750" y="1450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52425"/>
    <xdr:sp macro="" textlink="">
      <xdr:nvSpPr>
        <xdr:cNvPr id="91" name="srpresultimg_3363435771116489834" descr="Luva Segurança Latex Antiderrapante Multiuso Eccofer Tamanho M">
          <a:extLst>
            <a:ext uri="{FF2B5EF4-FFF2-40B4-BE49-F238E27FC236}">
              <a16:creationId xmlns:a16="http://schemas.microsoft.com/office/drawing/2014/main" xmlns="" id="{00000000-0008-0000-0600-000021000000}"/>
            </a:ext>
          </a:extLst>
        </xdr:cNvPr>
        <xdr:cNvSpPr>
          <a:spLocks noChangeAspect="1" noChangeArrowheads="1"/>
        </xdr:cNvSpPr>
      </xdr:nvSpPr>
      <xdr:spPr bwMode="auto">
        <a:xfrm>
          <a:off x="13954125" y="145065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30</xdr:row>
      <xdr:rowOff>0</xdr:rowOff>
    </xdr:from>
    <xdr:ext cx="304800" cy="352425"/>
    <xdr:sp macro="" textlink="">
      <xdr:nvSpPr>
        <xdr:cNvPr id="92" name="srpresultimg_3363435771116489834" descr="Luva Segurança Latex Antiderrapante Multiuso Eccofer Tamanho M">
          <a:extLst>
            <a:ext uri="{FF2B5EF4-FFF2-40B4-BE49-F238E27FC236}">
              <a16:creationId xmlns:a16="http://schemas.microsoft.com/office/drawing/2014/main" xmlns="" id="{00000000-0008-0000-0600-000022000000}"/>
            </a:ext>
          </a:extLst>
        </xdr:cNvPr>
        <xdr:cNvSpPr>
          <a:spLocks noChangeAspect="1" noChangeArrowheads="1"/>
        </xdr:cNvSpPr>
      </xdr:nvSpPr>
      <xdr:spPr bwMode="auto">
        <a:xfrm>
          <a:off x="15525750" y="145065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30</xdr:row>
      <xdr:rowOff>0</xdr:rowOff>
    </xdr:from>
    <xdr:ext cx="304800" cy="304800"/>
    <xdr:sp macro="" textlink="">
      <xdr:nvSpPr>
        <xdr:cNvPr id="93" name="srpresultimg_3363435771116489834" descr="Luva Segurança Latex Antiderrapante Multiuso Eccofer Tamanho M">
          <a:extLst>
            <a:ext uri="{FF2B5EF4-FFF2-40B4-BE49-F238E27FC236}">
              <a16:creationId xmlns:a16="http://schemas.microsoft.com/office/drawing/2014/main" xmlns="" id="{00000000-0008-0000-0600-000023000000}"/>
            </a:ext>
          </a:extLst>
        </xdr:cNvPr>
        <xdr:cNvSpPr>
          <a:spLocks noChangeAspect="1" noChangeArrowheads="1"/>
        </xdr:cNvSpPr>
      </xdr:nvSpPr>
      <xdr:spPr bwMode="auto">
        <a:xfrm>
          <a:off x="15525750" y="1450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28</xdr:row>
      <xdr:rowOff>0</xdr:rowOff>
    </xdr:from>
    <xdr:ext cx="304800" cy="304800"/>
    <xdr:sp macro="" textlink="">
      <xdr:nvSpPr>
        <xdr:cNvPr id="94" name="srpresultimg_11719798104974158439" descr="Podador de Cerca Viva Gasolina VP2450 1,10HP 2T 24,5cc Profissional Vulcan">
          <a:extLst>
            <a:ext uri="{FF2B5EF4-FFF2-40B4-BE49-F238E27FC236}">
              <a16:creationId xmlns:a16="http://schemas.microsoft.com/office/drawing/2014/main" xmlns="" id="{00000000-0008-0000-0600-000029000000}"/>
            </a:ext>
          </a:extLst>
        </xdr:cNvPr>
        <xdr:cNvSpPr>
          <a:spLocks noChangeAspect="1" noChangeArrowheads="1"/>
        </xdr:cNvSpPr>
      </xdr:nvSpPr>
      <xdr:spPr bwMode="auto">
        <a:xfrm>
          <a:off x="18335625"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52425"/>
    <xdr:sp macro="" textlink="">
      <xdr:nvSpPr>
        <xdr:cNvPr id="95" name="srpresultimg_3363435771116489834" descr="Luva Segurança Latex Antiderrapante Multiuso Eccofer Tamanho M">
          <a:extLst>
            <a:ext uri="{FF2B5EF4-FFF2-40B4-BE49-F238E27FC236}">
              <a16:creationId xmlns:a16="http://schemas.microsoft.com/office/drawing/2014/main" xmlns="" id="{00000000-0008-0000-0600-00002A000000}"/>
            </a:ext>
          </a:extLst>
        </xdr:cNvPr>
        <xdr:cNvSpPr>
          <a:spLocks noChangeAspect="1" noChangeArrowheads="1"/>
        </xdr:cNvSpPr>
      </xdr:nvSpPr>
      <xdr:spPr bwMode="auto">
        <a:xfrm>
          <a:off x="13954125"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6" name="srpresultimg_3363435771116489834" descr="Luva Segurança Latex Antiderrapante Multiuso Eccofer Tamanho M">
          <a:extLst>
            <a:ext uri="{FF2B5EF4-FFF2-40B4-BE49-F238E27FC236}">
              <a16:creationId xmlns:a16="http://schemas.microsoft.com/office/drawing/2014/main" xmlns="" id="{00000000-0008-0000-0600-00002B000000}"/>
            </a:ext>
          </a:extLst>
        </xdr:cNvPr>
        <xdr:cNvSpPr>
          <a:spLocks noChangeAspect="1" noChangeArrowheads="1"/>
        </xdr:cNvSpPr>
      </xdr:nvSpPr>
      <xdr:spPr bwMode="auto">
        <a:xfrm>
          <a:off x="13954125"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04800"/>
    <xdr:sp macro="" textlink="">
      <xdr:nvSpPr>
        <xdr:cNvPr id="97" name="srpresultimg_3363435771116489834" descr="Luva Segurança Latex Antiderrapante Multiuso Eccofer Tamanho M">
          <a:extLst>
            <a:ext uri="{FF2B5EF4-FFF2-40B4-BE49-F238E27FC236}">
              <a16:creationId xmlns:a16="http://schemas.microsoft.com/office/drawing/2014/main" xmlns="" id="{00000000-0008-0000-0600-00002C000000}"/>
            </a:ext>
          </a:extLst>
        </xdr:cNvPr>
        <xdr:cNvSpPr>
          <a:spLocks noChangeAspect="1" noChangeArrowheads="1"/>
        </xdr:cNvSpPr>
      </xdr:nvSpPr>
      <xdr:spPr bwMode="auto">
        <a:xfrm>
          <a:off x="15525750"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52425"/>
    <xdr:sp macro="" textlink="">
      <xdr:nvSpPr>
        <xdr:cNvPr id="98" name="srpresultimg_3363435771116489834" descr="Luva Segurança Latex Antiderrapante Multiuso Eccofer Tamanho M">
          <a:extLst>
            <a:ext uri="{FF2B5EF4-FFF2-40B4-BE49-F238E27FC236}">
              <a16:creationId xmlns:a16="http://schemas.microsoft.com/office/drawing/2014/main" xmlns="" id="{00000000-0008-0000-0600-00002D000000}"/>
            </a:ext>
          </a:extLst>
        </xdr:cNvPr>
        <xdr:cNvSpPr>
          <a:spLocks noChangeAspect="1" noChangeArrowheads="1"/>
        </xdr:cNvSpPr>
      </xdr:nvSpPr>
      <xdr:spPr bwMode="auto">
        <a:xfrm>
          <a:off x="13954125"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9" name="srpresultimg_3363435771116489834" descr="Luva Segurança Latex Antiderrapante Multiuso Eccofer Tamanho M">
          <a:extLst>
            <a:ext uri="{FF2B5EF4-FFF2-40B4-BE49-F238E27FC236}">
              <a16:creationId xmlns:a16="http://schemas.microsoft.com/office/drawing/2014/main" xmlns="" id="{00000000-0008-0000-0600-00002E000000}"/>
            </a:ext>
          </a:extLst>
        </xdr:cNvPr>
        <xdr:cNvSpPr>
          <a:spLocks noChangeAspect="1" noChangeArrowheads="1"/>
        </xdr:cNvSpPr>
      </xdr:nvSpPr>
      <xdr:spPr bwMode="auto">
        <a:xfrm>
          <a:off x="13954125"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52425"/>
    <xdr:sp macro="" textlink="">
      <xdr:nvSpPr>
        <xdr:cNvPr id="100" name="srpresultimg_3363435771116489834" descr="Luva Segurança Latex Antiderrapante Multiuso Eccofer Tamanho M">
          <a:extLst>
            <a:ext uri="{FF2B5EF4-FFF2-40B4-BE49-F238E27FC236}">
              <a16:creationId xmlns:a16="http://schemas.microsoft.com/office/drawing/2014/main" xmlns="" id="{00000000-0008-0000-0600-00002F000000}"/>
            </a:ext>
          </a:extLst>
        </xdr:cNvPr>
        <xdr:cNvSpPr>
          <a:spLocks noChangeAspect="1" noChangeArrowheads="1"/>
        </xdr:cNvSpPr>
      </xdr:nvSpPr>
      <xdr:spPr bwMode="auto">
        <a:xfrm>
          <a:off x="15525750"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04800"/>
    <xdr:sp macro="" textlink="">
      <xdr:nvSpPr>
        <xdr:cNvPr id="101" name="srpresultimg_3363435771116489834" descr="Luva Segurança Latex Antiderrapante Multiuso Eccofer Tamanho M">
          <a:extLst>
            <a:ext uri="{FF2B5EF4-FFF2-40B4-BE49-F238E27FC236}">
              <a16:creationId xmlns:a16="http://schemas.microsoft.com/office/drawing/2014/main" xmlns="" id="{00000000-0008-0000-0600-000030000000}"/>
            </a:ext>
          </a:extLst>
        </xdr:cNvPr>
        <xdr:cNvSpPr>
          <a:spLocks noChangeAspect="1" noChangeArrowheads="1"/>
        </xdr:cNvSpPr>
      </xdr:nvSpPr>
      <xdr:spPr bwMode="auto">
        <a:xfrm>
          <a:off x="15525750"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28</xdr:row>
      <xdr:rowOff>0</xdr:rowOff>
    </xdr:from>
    <xdr:ext cx="304800" cy="304800"/>
    <xdr:sp macro="" textlink="">
      <xdr:nvSpPr>
        <xdr:cNvPr id="102" name="srpresultimg_11719798104974158439" descr="Podador de Cerca Viva Gasolina VP2450 1,10HP 2T 24,5cc Profissional Vulcan">
          <a:extLst>
            <a:ext uri="{FF2B5EF4-FFF2-40B4-BE49-F238E27FC236}">
              <a16:creationId xmlns:a16="http://schemas.microsoft.com/office/drawing/2014/main" xmlns="" id="{00000000-0008-0000-0600-000031000000}"/>
            </a:ext>
          </a:extLst>
        </xdr:cNvPr>
        <xdr:cNvSpPr>
          <a:spLocks noChangeAspect="1" noChangeArrowheads="1"/>
        </xdr:cNvSpPr>
      </xdr:nvSpPr>
      <xdr:spPr bwMode="auto">
        <a:xfrm>
          <a:off x="18335625"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52425"/>
    <xdr:sp macro="" textlink="">
      <xdr:nvSpPr>
        <xdr:cNvPr id="103" name="srpresultimg_3363435771116489834" descr="Luva Segurança Latex Antiderrapante Multiuso Eccofer Tamanho M">
          <a:extLst>
            <a:ext uri="{FF2B5EF4-FFF2-40B4-BE49-F238E27FC236}">
              <a16:creationId xmlns:a16="http://schemas.microsoft.com/office/drawing/2014/main" xmlns="" id="{00000000-0008-0000-0600-000032000000}"/>
            </a:ext>
          </a:extLst>
        </xdr:cNvPr>
        <xdr:cNvSpPr>
          <a:spLocks noChangeAspect="1" noChangeArrowheads="1"/>
        </xdr:cNvSpPr>
      </xdr:nvSpPr>
      <xdr:spPr bwMode="auto">
        <a:xfrm>
          <a:off x="13954125"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04" name="srpresultimg_3363435771116489834" descr="Luva Segurança Latex Antiderrapante Multiuso Eccofer Tamanho M">
          <a:extLst>
            <a:ext uri="{FF2B5EF4-FFF2-40B4-BE49-F238E27FC236}">
              <a16:creationId xmlns:a16="http://schemas.microsoft.com/office/drawing/2014/main" xmlns="" id="{00000000-0008-0000-0600-000033000000}"/>
            </a:ext>
          </a:extLst>
        </xdr:cNvPr>
        <xdr:cNvSpPr>
          <a:spLocks noChangeAspect="1" noChangeArrowheads="1"/>
        </xdr:cNvSpPr>
      </xdr:nvSpPr>
      <xdr:spPr bwMode="auto">
        <a:xfrm>
          <a:off x="13954125"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52425"/>
    <xdr:sp macro="" textlink="">
      <xdr:nvSpPr>
        <xdr:cNvPr id="105" name="srpresultimg_3363435771116489834" descr="Luva Segurança Latex Antiderrapante Multiuso Eccofer Tamanho M">
          <a:extLst>
            <a:ext uri="{FF2B5EF4-FFF2-40B4-BE49-F238E27FC236}">
              <a16:creationId xmlns:a16="http://schemas.microsoft.com/office/drawing/2014/main" xmlns="" id="{00000000-0008-0000-0600-000034000000}"/>
            </a:ext>
          </a:extLst>
        </xdr:cNvPr>
        <xdr:cNvSpPr>
          <a:spLocks noChangeAspect="1" noChangeArrowheads="1"/>
        </xdr:cNvSpPr>
      </xdr:nvSpPr>
      <xdr:spPr bwMode="auto">
        <a:xfrm>
          <a:off x="15525750"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04800"/>
    <xdr:sp macro="" textlink="">
      <xdr:nvSpPr>
        <xdr:cNvPr id="106" name="srpresultimg_3363435771116489834" descr="Luva Segurança Latex Antiderrapante Multiuso Eccofer Tamanho M">
          <a:extLst>
            <a:ext uri="{FF2B5EF4-FFF2-40B4-BE49-F238E27FC236}">
              <a16:creationId xmlns:a16="http://schemas.microsoft.com/office/drawing/2014/main" xmlns="" id="{00000000-0008-0000-0600-000035000000}"/>
            </a:ext>
          </a:extLst>
        </xdr:cNvPr>
        <xdr:cNvSpPr>
          <a:spLocks noChangeAspect="1" noChangeArrowheads="1"/>
        </xdr:cNvSpPr>
      </xdr:nvSpPr>
      <xdr:spPr bwMode="auto">
        <a:xfrm>
          <a:off x="15525750"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52425"/>
    <xdr:sp macro="" textlink="">
      <xdr:nvSpPr>
        <xdr:cNvPr id="107" name="srpresultimg_3363435771116489834" descr="Luva Segurança Latex Antiderrapante Multiuso Eccofer Tamanho M">
          <a:extLst>
            <a:ext uri="{FF2B5EF4-FFF2-40B4-BE49-F238E27FC236}">
              <a16:creationId xmlns:a16="http://schemas.microsoft.com/office/drawing/2014/main" xmlns="" id="{00000000-0008-0000-0600-000036000000}"/>
            </a:ext>
          </a:extLst>
        </xdr:cNvPr>
        <xdr:cNvSpPr>
          <a:spLocks noChangeAspect="1" noChangeArrowheads="1"/>
        </xdr:cNvSpPr>
      </xdr:nvSpPr>
      <xdr:spPr bwMode="auto">
        <a:xfrm>
          <a:off x="13954125"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08" name="srpresultimg_3363435771116489834" descr="Luva Segurança Latex Antiderrapante Multiuso Eccofer Tamanho M">
          <a:extLst>
            <a:ext uri="{FF2B5EF4-FFF2-40B4-BE49-F238E27FC236}">
              <a16:creationId xmlns:a16="http://schemas.microsoft.com/office/drawing/2014/main" xmlns="" id="{00000000-0008-0000-0600-000037000000}"/>
            </a:ext>
          </a:extLst>
        </xdr:cNvPr>
        <xdr:cNvSpPr>
          <a:spLocks noChangeAspect="1" noChangeArrowheads="1"/>
        </xdr:cNvSpPr>
      </xdr:nvSpPr>
      <xdr:spPr bwMode="auto">
        <a:xfrm>
          <a:off x="13954125"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52425"/>
    <xdr:sp macro="" textlink="">
      <xdr:nvSpPr>
        <xdr:cNvPr id="109" name="srpresultimg_3363435771116489834" descr="Luva Segurança Latex Antiderrapante Multiuso Eccofer Tamanho M">
          <a:extLst>
            <a:ext uri="{FF2B5EF4-FFF2-40B4-BE49-F238E27FC236}">
              <a16:creationId xmlns:a16="http://schemas.microsoft.com/office/drawing/2014/main" xmlns="" id="{00000000-0008-0000-0600-000038000000}"/>
            </a:ext>
          </a:extLst>
        </xdr:cNvPr>
        <xdr:cNvSpPr>
          <a:spLocks noChangeAspect="1" noChangeArrowheads="1"/>
        </xdr:cNvSpPr>
      </xdr:nvSpPr>
      <xdr:spPr bwMode="auto">
        <a:xfrm>
          <a:off x="15525750" y="1371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04800"/>
    <xdr:sp macro="" textlink="">
      <xdr:nvSpPr>
        <xdr:cNvPr id="110" name="srpresultimg_3363435771116489834" descr="Luva Segurança Latex Antiderrapante Multiuso Eccofer Tamanho M">
          <a:extLst>
            <a:ext uri="{FF2B5EF4-FFF2-40B4-BE49-F238E27FC236}">
              <a16:creationId xmlns:a16="http://schemas.microsoft.com/office/drawing/2014/main" xmlns="" id="{00000000-0008-0000-0600-000039000000}"/>
            </a:ext>
          </a:extLst>
        </xdr:cNvPr>
        <xdr:cNvSpPr>
          <a:spLocks noChangeAspect="1" noChangeArrowheads="1"/>
        </xdr:cNvSpPr>
      </xdr:nvSpPr>
      <xdr:spPr bwMode="auto">
        <a:xfrm>
          <a:off x="15525750"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22</xdr:row>
      <xdr:rowOff>0</xdr:rowOff>
    </xdr:from>
    <xdr:to>
      <xdr:col>10</xdr:col>
      <xdr:colOff>304800</xdr:colOff>
      <xdr:row>23</xdr:row>
      <xdr:rowOff>110067</xdr:rowOff>
    </xdr:to>
    <xdr:sp macro="" textlink="">
      <xdr:nvSpPr>
        <xdr:cNvPr id="111" name="srpresultimg_17896933053480025557" descr="Protetor Auricular de Silicone Plug">
          <a:extLst>
            <a:ext uri="{FF2B5EF4-FFF2-40B4-BE49-F238E27FC236}">
              <a16:creationId xmlns:a16="http://schemas.microsoft.com/office/drawing/2014/main" xmlns="" id="{00000000-0008-0000-0600-00003B000000}"/>
            </a:ext>
          </a:extLst>
        </xdr:cNvPr>
        <xdr:cNvSpPr>
          <a:spLocks noChangeAspect="1" noChangeArrowheads="1"/>
        </xdr:cNvSpPr>
      </xdr:nvSpPr>
      <xdr:spPr bwMode="auto">
        <a:xfrm>
          <a:off x="11906250" y="5524500"/>
          <a:ext cx="304800" cy="300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271991</xdr:colOff>
      <xdr:row>13</xdr:row>
      <xdr:rowOff>91016</xdr:rowOff>
    </xdr:from>
    <xdr:to>
      <xdr:col>8</xdr:col>
      <xdr:colOff>612980</xdr:colOff>
      <xdr:row>14</xdr:row>
      <xdr:rowOff>267778</xdr:rowOff>
    </xdr:to>
    <xdr:pic>
      <xdr:nvPicPr>
        <xdr:cNvPr id="112" name="Imagem 111" descr="Chapéu Pescador com Proteção de Pescoço Verde Claro: Amazon.com.br: Amazon  Mod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7066" y="3520016"/>
          <a:ext cx="636264" cy="748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762268</xdr:colOff>
      <xdr:row>16</xdr:row>
      <xdr:rowOff>177539</xdr:rowOff>
    </xdr:from>
    <xdr:to>
      <xdr:col>9</xdr:col>
      <xdr:colOff>585260</xdr:colOff>
      <xdr:row>21</xdr:row>
      <xdr:rowOff>158184</xdr:rowOff>
    </xdr:to>
    <xdr:pic>
      <xdr:nvPicPr>
        <xdr:cNvPr id="113" name="Imagem 112" descr="https://encrypted-tbn0.gstatic.com/shopping?q=tbn:ANd9GcS63pouZTLwFsQJJlpOy_m2azIg_enEHwzPcIZcdjSyJV19MmORXndEXVnFdeGtZZbDLanN9ZcB&amp;usqp=CAE">
          <a:extLst>
            <a:ext uri="{FF2B5EF4-FFF2-40B4-BE49-F238E27FC236}">
              <a16:creationId xmlns="" xmlns:a16="http://schemas.microsoft.com/office/drawing/2014/main" id="{00000000-0008-0000-0400-00000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333" b="12000"/>
        <a:stretch/>
      </xdr:blipFill>
      <xdr:spPr bwMode="auto">
        <a:xfrm>
          <a:off x="10887343" y="6273539"/>
          <a:ext cx="706096" cy="933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603250</xdr:colOff>
      <xdr:row>33</xdr:row>
      <xdr:rowOff>0</xdr:rowOff>
    </xdr:from>
    <xdr:to>
      <xdr:col>11</xdr:col>
      <xdr:colOff>46371</xdr:colOff>
      <xdr:row>35</xdr:row>
      <xdr:rowOff>200709</xdr:rowOff>
    </xdr:to>
    <xdr:pic>
      <xdr:nvPicPr>
        <xdr:cNvPr id="114" name="Imagem 113"/>
        <xdr:cNvPicPr>
          <a:picLocks noChangeAspect="1"/>
        </xdr:cNvPicPr>
      </xdr:nvPicPr>
      <xdr:blipFill>
        <a:blip xmlns:r="http://schemas.openxmlformats.org/officeDocument/2006/relationships" r:embed="rId3"/>
        <a:stretch>
          <a:fillRect/>
        </a:stretch>
      </xdr:blipFill>
      <xdr:spPr>
        <a:xfrm>
          <a:off x="12509500" y="15840075"/>
          <a:ext cx="624220" cy="1153209"/>
        </a:xfrm>
        <a:prstGeom prst="rect">
          <a:avLst/>
        </a:prstGeom>
      </xdr:spPr>
    </xdr:pic>
    <xdr:clientData/>
  </xdr:twoCellAnchor>
  <xdr:twoCellAnchor editAs="oneCell">
    <xdr:from>
      <xdr:col>9</xdr:col>
      <xdr:colOff>772583</xdr:colOff>
      <xdr:row>34</xdr:row>
      <xdr:rowOff>251093</xdr:rowOff>
    </xdr:from>
    <xdr:to>
      <xdr:col>10</xdr:col>
      <xdr:colOff>767752</xdr:colOff>
      <xdr:row>35</xdr:row>
      <xdr:rowOff>376620</xdr:rowOff>
    </xdr:to>
    <xdr:pic>
      <xdr:nvPicPr>
        <xdr:cNvPr id="115" name="Imagem 114"/>
        <xdr:cNvPicPr>
          <a:picLocks noChangeAspect="1"/>
        </xdr:cNvPicPr>
      </xdr:nvPicPr>
      <xdr:blipFill rotWithShape="1">
        <a:blip xmlns:r="http://schemas.openxmlformats.org/officeDocument/2006/relationships" r:embed="rId4"/>
        <a:srcRect t="9113" b="13667"/>
        <a:stretch/>
      </xdr:blipFill>
      <xdr:spPr>
        <a:xfrm>
          <a:off x="11878733" y="16224518"/>
          <a:ext cx="1109594" cy="1068502"/>
        </a:xfrm>
        <a:prstGeom prst="rect">
          <a:avLst/>
        </a:prstGeom>
      </xdr:spPr>
    </xdr:pic>
    <xdr:clientData/>
  </xdr:twoCellAnchor>
  <xdr:twoCellAnchor editAs="oneCell">
    <xdr:from>
      <xdr:col>9</xdr:col>
      <xdr:colOff>412750</xdr:colOff>
      <xdr:row>46</xdr:row>
      <xdr:rowOff>254000</xdr:rowOff>
    </xdr:from>
    <xdr:to>
      <xdr:col>10</xdr:col>
      <xdr:colOff>220060</xdr:colOff>
      <xdr:row>47</xdr:row>
      <xdr:rowOff>254000</xdr:rowOff>
    </xdr:to>
    <xdr:pic>
      <xdr:nvPicPr>
        <xdr:cNvPr id="116" name="Imagem 115"/>
        <xdr:cNvPicPr>
          <a:picLocks noChangeAspect="1"/>
        </xdr:cNvPicPr>
      </xdr:nvPicPr>
      <xdr:blipFill>
        <a:blip xmlns:r="http://schemas.openxmlformats.org/officeDocument/2006/relationships" r:embed="rId5"/>
        <a:stretch>
          <a:fillRect/>
        </a:stretch>
      </xdr:blipFill>
      <xdr:spPr>
        <a:xfrm>
          <a:off x="11518900" y="25428575"/>
          <a:ext cx="797910" cy="1400175"/>
        </a:xfrm>
        <a:prstGeom prst="rect">
          <a:avLst/>
        </a:prstGeom>
      </xdr:spPr>
    </xdr:pic>
    <xdr:clientData/>
  </xdr:twoCellAnchor>
  <xdr:twoCellAnchor editAs="oneCell">
    <xdr:from>
      <xdr:col>9</xdr:col>
      <xdr:colOff>290285</xdr:colOff>
      <xdr:row>49</xdr:row>
      <xdr:rowOff>240695</xdr:rowOff>
    </xdr:from>
    <xdr:to>
      <xdr:col>9</xdr:col>
      <xdr:colOff>791678</xdr:colOff>
      <xdr:row>50</xdr:row>
      <xdr:rowOff>142274</xdr:rowOff>
    </xdr:to>
    <xdr:pic>
      <xdr:nvPicPr>
        <xdr:cNvPr id="117" name="Imagem 116" descr="Resultado de imagem para SACOS DE LIXO REUTILIZÁVEIS">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03214" y="23508909"/>
          <a:ext cx="501393" cy="282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353899</xdr:colOff>
      <xdr:row>51</xdr:row>
      <xdr:rowOff>417560</xdr:rowOff>
    </xdr:from>
    <xdr:to>
      <xdr:col>10</xdr:col>
      <xdr:colOff>776328</xdr:colOff>
      <xdr:row>52</xdr:row>
      <xdr:rowOff>230608</xdr:rowOff>
    </xdr:to>
    <xdr:pic>
      <xdr:nvPicPr>
        <xdr:cNvPr id="118" name="Imagem 117" descr="Resultado de imagem para tela de proteção para cortar grama">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266828" y="24257274"/>
          <a:ext cx="1225250" cy="384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27</xdr:row>
      <xdr:rowOff>0</xdr:rowOff>
    </xdr:from>
    <xdr:ext cx="304800" cy="352425"/>
    <xdr:sp macro="" textlink="">
      <xdr:nvSpPr>
        <xdr:cNvPr id="119"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525750" y="609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120"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525750" y="609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121"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525750" y="6096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122"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525750" y="609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123"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525750" y="6286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124"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525750" y="628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125"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525750" y="6286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126"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525750" y="628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127"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525750" y="6477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128"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525750" y="647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129"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525750" y="6477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130"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525750" y="647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25</xdr:row>
      <xdr:rowOff>0</xdr:rowOff>
    </xdr:from>
    <xdr:to>
      <xdr:col>12</xdr:col>
      <xdr:colOff>304800</xdr:colOff>
      <xdr:row>26</xdr:row>
      <xdr:rowOff>158749</xdr:rowOff>
    </xdr:to>
    <xdr:sp macro="" textlink="">
      <xdr:nvSpPr>
        <xdr:cNvPr id="2" name="srpresultimg_3363435771116489834" descr="Luva Segurança Latex Antiderrapante Multiuso Eccofer Tamanho M">
          <a:extLst>
            <a:ext uri="{FF2B5EF4-FFF2-40B4-BE49-F238E27FC236}">
              <a16:creationId xmlns:a16="http://schemas.microsoft.com/office/drawing/2014/main" xmlns="" id="{00000000-0008-0000-0600-000003000000}"/>
            </a:ext>
          </a:extLst>
        </xdr:cNvPr>
        <xdr:cNvSpPr>
          <a:spLocks noChangeAspect="1" noChangeArrowheads="1"/>
        </xdr:cNvSpPr>
      </xdr:nvSpPr>
      <xdr:spPr bwMode="auto">
        <a:xfrm>
          <a:off x="13496925" y="8763000"/>
          <a:ext cx="304800" cy="3492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25</xdr:row>
      <xdr:rowOff>0</xdr:rowOff>
    </xdr:from>
    <xdr:ext cx="304800" cy="304800"/>
    <xdr:sp macro="" textlink="">
      <xdr:nvSpPr>
        <xdr:cNvPr id="3" name="srpresultimg_3363435771116489834" descr="Luva Segurança Latex Antiderrapante Multiuso Eccofer Tamanho M">
          <a:extLst>
            <a:ext uri="{FF2B5EF4-FFF2-40B4-BE49-F238E27FC236}">
              <a16:creationId xmlns:a16="http://schemas.microsoft.com/office/drawing/2014/main" xmlns="" id="{00000000-0008-0000-0600-000004000000}"/>
            </a:ext>
          </a:extLst>
        </xdr:cNvPr>
        <xdr:cNvSpPr>
          <a:spLocks noChangeAspect="1" noChangeArrowheads="1"/>
        </xdr:cNvSpPr>
      </xdr:nvSpPr>
      <xdr:spPr bwMode="auto">
        <a:xfrm>
          <a:off x="13496925"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 name="srpresultimg_3363435771116489834" descr="Luva Segurança Latex Antiderrapante Multiuso Eccofer Tamanho M">
          <a:extLst>
            <a:ext uri="{FF2B5EF4-FFF2-40B4-BE49-F238E27FC236}">
              <a16:creationId xmlns:a16="http://schemas.microsoft.com/office/drawing/2014/main" xmlns="" id="{00000000-0008-0000-0600-000005000000}"/>
            </a:ext>
          </a:extLst>
        </xdr:cNvPr>
        <xdr:cNvSpPr>
          <a:spLocks noChangeAspect="1" noChangeArrowheads="1"/>
        </xdr:cNvSpPr>
      </xdr:nvSpPr>
      <xdr:spPr bwMode="auto">
        <a:xfrm>
          <a:off x="13496925"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17</xdr:col>
      <xdr:colOff>0</xdr:colOff>
      <xdr:row>37</xdr:row>
      <xdr:rowOff>0</xdr:rowOff>
    </xdr:from>
    <xdr:to>
      <xdr:col>17</xdr:col>
      <xdr:colOff>304800</xdr:colOff>
      <xdr:row>38</xdr:row>
      <xdr:rowOff>114300</xdr:rowOff>
    </xdr:to>
    <xdr:sp macro="" textlink="">
      <xdr:nvSpPr>
        <xdr:cNvPr id="5" name="srpresultimg_11719798104974158439" descr="Podador de Cerca Viva Gasolina VP2450 1,10HP 2T 24,5cc Profissional Vulcan">
          <a:extLst>
            <a:ext uri="{FF2B5EF4-FFF2-40B4-BE49-F238E27FC236}">
              <a16:creationId xmlns:a16="http://schemas.microsoft.com/office/drawing/2014/main" xmlns="" id="{00000000-0008-0000-0600-000006000000}"/>
            </a:ext>
          </a:extLst>
        </xdr:cNvPr>
        <xdr:cNvSpPr>
          <a:spLocks noChangeAspect="1" noChangeArrowheads="1"/>
        </xdr:cNvSpPr>
      </xdr:nvSpPr>
      <xdr:spPr bwMode="auto">
        <a:xfrm>
          <a:off x="17878425" y="3527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37</xdr:row>
      <xdr:rowOff>0</xdr:rowOff>
    </xdr:from>
    <xdr:to>
      <xdr:col>14</xdr:col>
      <xdr:colOff>304800</xdr:colOff>
      <xdr:row>38</xdr:row>
      <xdr:rowOff>0</xdr:rowOff>
    </xdr:to>
    <xdr:sp macro="" textlink="">
      <xdr:nvSpPr>
        <xdr:cNvPr id="6" name="srpresultimg_7827143538601718134" descr="Serrote De Poda 12 Pol">
          <a:extLst>
            <a:ext uri="{FF2B5EF4-FFF2-40B4-BE49-F238E27FC236}">
              <a16:creationId xmlns:a16="http://schemas.microsoft.com/office/drawing/2014/main" xmlns="" id="{00000000-0008-0000-0600-000007000000}"/>
            </a:ext>
          </a:extLst>
        </xdr:cNvPr>
        <xdr:cNvSpPr>
          <a:spLocks noChangeAspect="1" noChangeArrowheads="1"/>
        </xdr:cNvSpPr>
      </xdr:nvSpPr>
      <xdr:spPr bwMode="auto">
        <a:xfrm>
          <a:off x="15801975" y="33175575"/>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25</xdr:row>
      <xdr:rowOff>0</xdr:rowOff>
    </xdr:from>
    <xdr:ext cx="304800" cy="352425"/>
    <xdr:sp macro="" textlink="">
      <xdr:nvSpPr>
        <xdr:cNvPr id="7"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068550" y="8763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25</xdr:row>
      <xdr:rowOff>0</xdr:rowOff>
    </xdr:from>
    <xdr:ext cx="304800" cy="304800"/>
    <xdr:sp macro="" textlink="">
      <xdr:nvSpPr>
        <xdr:cNvPr id="8"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068550"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52425"/>
    <xdr:sp macro="" textlink="">
      <xdr:nvSpPr>
        <xdr:cNvPr id="9" name="srpresultimg_3363435771116489834" descr="Luva Segurança Latex Antiderrapante Multiuso Eccofer Tamanho M">
          <a:extLst>
            <a:ext uri="{FF2B5EF4-FFF2-40B4-BE49-F238E27FC236}">
              <a16:creationId xmlns:a16="http://schemas.microsoft.com/office/drawing/2014/main" xmlns="" id="{00000000-0008-0000-0600-00000A000000}"/>
            </a:ext>
          </a:extLst>
        </xdr:cNvPr>
        <xdr:cNvSpPr>
          <a:spLocks noChangeAspect="1" noChangeArrowheads="1"/>
        </xdr:cNvSpPr>
      </xdr:nvSpPr>
      <xdr:spPr bwMode="auto">
        <a:xfrm>
          <a:off x="13496925" y="8763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0" name="srpresultimg_3363435771116489834" descr="Luva Segurança Latex Antiderrapante Multiuso Eccofer Tamanho M">
          <a:extLst>
            <a:ext uri="{FF2B5EF4-FFF2-40B4-BE49-F238E27FC236}">
              <a16:creationId xmlns:a16="http://schemas.microsoft.com/office/drawing/2014/main" xmlns="" id="{00000000-0008-0000-0600-00000B000000}"/>
            </a:ext>
          </a:extLst>
        </xdr:cNvPr>
        <xdr:cNvSpPr>
          <a:spLocks noChangeAspect="1" noChangeArrowheads="1"/>
        </xdr:cNvSpPr>
      </xdr:nvSpPr>
      <xdr:spPr bwMode="auto">
        <a:xfrm>
          <a:off x="13496925"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25</xdr:row>
      <xdr:rowOff>0</xdr:rowOff>
    </xdr:from>
    <xdr:ext cx="304800" cy="352425"/>
    <xdr:sp macro="" textlink="">
      <xdr:nvSpPr>
        <xdr:cNvPr id="11"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068550" y="8763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25</xdr:row>
      <xdr:rowOff>0</xdr:rowOff>
    </xdr:from>
    <xdr:ext cx="304800" cy="304800"/>
    <xdr:sp macro="" textlink="">
      <xdr:nvSpPr>
        <xdr:cNvPr id="12"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068550"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52425"/>
    <xdr:sp macro="" textlink="">
      <xdr:nvSpPr>
        <xdr:cNvPr id="13" name="srpresultimg_3363435771116489834" descr="Luva Segurança Latex Antiderrapante Multiuso Eccofer Tamanho M">
          <a:extLst>
            <a:ext uri="{FF2B5EF4-FFF2-40B4-BE49-F238E27FC236}">
              <a16:creationId xmlns:a16="http://schemas.microsoft.com/office/drawing/2014/main" xmlns="" id="{00000000-0008-0000-0600-00000E000000}"/>
            </a:ext>
          </a:extLst>
        </xdr:cNvPr>
        <xdr:cNvSpPr>
          <a:spLocks noChangeAspect="1" noChangeArrowheads="1"/>
        </xdr:cNvSpPr>
      </xdr:nvSpPr>
      <xdr:spPr bwMode="auto">
        <a:xfrm>
          <a:off x="13496925" y="35271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4" name="srpresultimg_3363435771116489834" descr="Luva Segurança Latex Antiderrapante Multiuso Eccofer Tamanho M">
          <a:extLst>
            <a:ext uri="{FF2B5EF4-FFF2-40B4-BE49-F238E27FC236}">
              <a16:creationId xmlns:a16="http://schemas.microsoft.com/office/drawing/2014/main" xmlns="" id="{00000000-0008-0000-0600-00000F000000}"/>
            </a:ext>
          </a:extLst>
        </xdr:cNvPr>
        <xdr:cNvSpPr>
          <a:spLocks noChangeAspect="1" noChangeArrowheads="1"/>
        </xdr:cNvSpPr>
      </xdr:nvSpPr>
      <xdr:spPr bwMode="auto">
        <a:xfrm>
          <a:off x="13496925" y="3527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52425"/>
    <xdr:sp macro="" textlink="">
      <xdr:nvSpPr>
        <xdr:cNvPr id="15" name="srpresultimg_3363435771116489834" descr="Luva Segurança Latex Antiderrapante Multiuso Eccofer Tamanho M">
          <a:extLst>
            <a:ext uri="{FF2B5EF4-FFF2-40B4-BE49-F238E27FC236}">
              <a16:creationId xmlns:a16="http://schemas.microsoft.com/office/drawing/2014/main" xmlns="" id="{00000000-0008-0000-0600-000010000000}"/>
            </a:ext>
          </a:extLst>
        </xdr:cNvPr>
        <xdr:cNvSpPr>
          <a:spLocks noChangeAspect="1" noChangeArrowheads="1"/>
        </xdr:cNvSpPr>
      </xdr:nvSpPr>
      <xdr:spPr bwMode="auto">
        <a:xfrm>
          <a:off x="15068550" y="35271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04800"/>
    <xdr:sp macro="" textlink="">
      <xdr:nvSpPr>
        <xdr:cNvPr id="16" name="srpresultimg_3363435771116489834" descr="Luva Segurança Latex Antiderrapante Multiuso Eccofer Tamanho M">
          <a:extLst>
            <a:ext uri="{FF2B5EF4-FFF2-40B4-BE49-F238E27FC236}">
              <a16:creationId xmlns:a16="http://schemas.microsoft.com/office/drawing/2014/main" xmlns="" id="{00000000-0008-0000-0600-000011000000}"/>
            </a:ext>
          </a:extLst>
        </xdr:cNvPr>
        <xdr:cNvSpPr>
          <a:spLocks noChangeAspect="1" noChangeArrowheads="1"/>
        </xdr:cNvSpPr>
      </xdr:nvSpPr>
      <xdr:spPr bwMode="auto">
        <a:xfrm>
          <a:off x="15068550" y="3527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52425"/>
    <xdr:sp macro="" textlink="">
      <xdr:nvSpPr>
        <xdr:cNvPr id="17" name="srpresultimg_3363435771116489834" descr="Luva Segurança Latex Antiderrapante Multiuso Eccofer Tamanho M">
          <a:extLst>
            <a:ext uri="{FF2B5EF4-FFF2-40B4-BE49-F238E27FC236}">
              <a16:creationId xmlns:a16="http://schemas.microsoft.com/office/drawing/2014/main" xmlns="" id="{00000000-0008-0000-0600-000012000000}"/>
            </a:ext>
          </a:extLst>
        </xdr:cNvPr>
        <xdr:cNvSpPr>
          <a:spLocks noChangeAspect="1" noChangeArrowheads="1"/>
        </xdr:cNvSpPr>
      </xdr:nvSpPr>
      <xdr:spPr bwMode="auto">
        <a:xfrm>
          <a:off x="13496925" y="35271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8" name="srpresultimg_3363435771116489834" descr="Luva Segurança Latex Antiderrapante Multiuso Eccofer Tamanho M">
          <a:extLst>
            <a:ext uri="{FF2B5EF4-FFF2-40B4-BE49-F238E27FC236}">
              <a16:creationId xmlns:a16="http://schemas.microsoft.com/office/drawing/2014/main" xmlns="" id="{00000000-0008-0000-0600-000013000000}"/>
            </a:ext>
          </a:extLst>
        </xdr:cNvPr>
        <xdr:cNvSpPr>
          <a:spLocks noChangeAspect="1" noChangeArrowheads="1"/>
        </xdr:cNvSpPr>
      </xdr:nvSpPr>
      <xdr:spPr bwMode="auto">
        <a:xfrm>
          <a:off x="13496925" y="3527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52425"/>
    <xdr:sp macro="" textlink="">
      <xdr:nvSpPr>
        <xdr:cNvPr id="19" name="srpresultimg_3363435771116489834" descr="Luva Segurança Latex Antiderrapante Multiuso Eccofer Tamanho M">
          <a:extLst>
            <a:ext uri="{FF2B5EF4-FFF2-40B4-BE49-F238E27FC236}">
              <a16:creationId xmlns:a16="http://schemas.microsoft.com/office/drawing/2014/main" xmlns="" id="{00000000-0008-0000-0600-000014000000}"/>
            </a:ext>
          </a:extLst>
        </xdr:cNvPr>
        <xdr:cNvSpPr>
          <a:spLocks noChangeAspect="1" noChangeArrowheads="1"/>
        </xdr:cNvSpPr>
      </xdr:nvSpPr>
      <xdr:spPr bwMode="auto">
        <a:xfrm>
          <a:off x="15068550" y="352710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04800"/>
    <xdr:sp macro="" textlink="">
      <xdr:nvSpPr>
        <xdr:cNvPr id="20" name="srpresultimg_3363435771116489834" descr="Luva Segurança Latex Antiderrapante Multiuso Eccofer Tamanho M">
          <a:extLst>
            <a:ext uri="{FF2B5EF4-FFF2-40B4-BE49-F238E27FC236}">
              <a16:creationId xmlns:a16="http://schemas.microsoft.com/office/drawing/2014/main" xmlns="" id="{00000000-0008-0000-0600-000015000000}"/>
            </a:ext>
          </a:extLst>
        </xdr:cNvPr>
        <xdr:cNvSpPr>
          <a:spLocks noChangeAspect="1" noChangeArrowheads="1"/>
        </xdr:cNvSpPr>
      </xdr:nvSpPr>
      <xdr:spPr bwMode="auto">
        <a:xfrm>
          <a:off x="15068550" y="3527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0</xdr:colOff>
      <xdr:row>37</xdr:row>
      <xdr:rowOff>0</xdr:rowOff>
    </xdr:from>
    <xdr:to>
      <xdr:col>12</xdr:col>
      <xdr:colOff>304800</xdr:colOff>
      <xdr:row>39</xdr:row>
      <xdr:rowOff>3175</xdr:rowOff>
    </xdr:to>
    <xdr:sp macro="" textlink="">
      <xdr:nvSpPr>
        <xdr:cNvPr id="21" name="srpresultimg_3363435771116489834" descr="Luva Segurança Latex Antiderrapante Multiuso Eccofer Tamanho M">
          <a:extLst>
            <a:ext uri="{FF2B5EF4-FFF2-40B4-BE49-F238E27FC236}">
              <a16:creationId xmlns:a16="http://schemas.microsoft.com/office/drawing/2014/main" xmlns="" id="{00000000-0008-0000-0600-000018000000}"/>
            </a:ext>
          </a:extLst>
        </xdr:cNvPr>
        <xdr:cNvSpPr>
          <a:spLocks noChangeAspect="1" noChangeArrowheads="1"/>
        </xdr:cNvSpPr>
      </xdr:nvSpPr>
      <xdr:spPr bwMode="auto">
        <a:xfrm>
          <a:off x="13496925" y="17554575"/>
          <a:ext cx="304800" cy="384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37</xdr:row>
      <xdr:rowOff>0</xdr:rowOff>
    </xdr:from>
    <xdr:ext cx="304800" cy="304800"/>
    <xdr:sp macro="" textlink="">
      <xdr:nvSpPr>
        <xdr:cNvPr id="22" name="srpresultimg_3363435771116489834" descr="Luva Segurança Latex Antiderrapante Multiuso Eccofer Tamanho M">
          <a:extLst>
            <a:ext uri="{FF2B5EF4-FFF2-40B4-BE49-F238E27FC236}">
              <a16:creationId xmlns:a16="http://schemas.microsoft.com/office/drawing/2014/main" xmlns="" id="{00000000-0008-0000-0600-00001A000000}"/>
            </a:ext>
          </a:extLst>
        </xdr:cNvPr>
        <xdr:cNvSpPr>
          <a:spLocks noChangeAspect="1" noChangeArrowheads="1"/>
        </xdr:cNvSpPr>
      </xdr:nvSpPr>
      <xdr:spPr bwMode="auto">
        <a:xfrm>
          <a:off x="13496925"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37</xdr:row>
      <xdr:rowOff>0</xdr:rowOff>
    </xdr:from>
    <xdr:to>
      <xdr:col>14</xdr:col>
      <xdr:colOff>304800</xdr:colOff>
      <xdr:row>38</xdr:row>
      <xdr:rowOff>0</xdr:rowOff>
    </xdr:to>
    <xdr:sp macro="" textlink="">
      <xdr:nvSpPr>
        <xdr:cNvPr id="23" name="srpresultimg_7827143538601718134" descr="Serrote De Poda 12 Pol">
          <a:extLst>
            <a:ext uri="{FF2B5EF4-FFF2-40B4-BE49-F238E27FC236}">
              <a16:creationId xmlns:a16="http://schemas.microsoft.com/office/drawing/2014/main" xmlns="" id="{00000000-0008-0000-0600-00001B000000}"/>
            </a:ext>
          </a:extLst>
        </xdr:cNvPr>
        <xdr:cNvSpPr>
          <a:spLocks noChangeAspect="1" noChangeArrowheads="1"/>
        </xdr:cNvSpPr>
      </xdr:nvSpPr>
      <xdr:spPr bwMode="auto">
        <a:xfrm>
          <a:off x="15801975" y="33175575"/>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37</xdr:row>
      <xdr:rowOff>0</xdr:rowOff>
    </xdr:from>
    <xdr:ext cx="304800" cy="352425"/>
    <xdr:sp macro="" textlink="">
      <xdr:nvSpPr>
        <xdr:cNvPr id="24" name="srpresultimg_3363435771116489834" descr="Luva Segurança Latex Antiderrapante Multiuso Eccofer Tamanho M">
          <a:extLst>
            <a:ext uri="{FF2B5EF4-FFF2-40B4-BE49-F238E27FC236}">
              <a16:creationId xmlns:a16="http://schemas.microsoft.com/office/drawing/2014/main" xmlns="" id="{00000000-0008-0000-0600-00001F000000}"/>
            </a:ext>
          </a:extLst>
        </xdr:cNvPr>
        <xdr:cNvSpPr>
          <a:spLocks noChangeAspect="1" noChangeArrowheads="1"/>
        </xdr:cNvSpPr>
      </xdr:nvSpPr>
      <xdr:spPr bwMode="auto">
        <a:xfrm>
          <a:off x="15068550" y="175545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04800"/>
    <xdr:sp macro="" textlink="">
      <xdr:nvSpPr>
        <xdr:cNvPr id="25" name="srpresultimg_3363435771116489834" descr="Luva Segurança Latex Antiderrapante Multiuso Eccofer Tamanho M">
          <a:extLst>
            <a:ext uri="{FF2B5EF4-FFF2-40B4-BE49-F238E27FC236}">
              <a16:creationId xmlns:a16="http://schemas.microsoft.com/office/drawing/2014/main" xmlns="" id="{00000000-0008-0000-0600-000020000000}"/>
            </a:ext>
          </a:extLst>
        </xdr:cNvPr>
        <xdr:cNvSpPr>
          <a:spLocks noChangeAspect="1" noChangeArrowheads="1"/>
        </xdr:cNvSpPr>
      </xdr:nvSpPr>
      <xdr:spPr bwMode="auto">
        <a:xfrm>
          <a:off x="150685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52425"/>
    <xdr:sp macro="" textlink="">
      <xdr:nvSpPr>
        <xdr:cNvPr id="26" name="srpresultimg_3363435771116489834" descr="Luva Segurança Latex Antiderrapante Multiuso Eccofer Tamanho M">
          <a:extLst>
            <a:ext uri="{FF2B5EF4-FFF2-40B4-BE49-F238E27FC236}">
              <a16:creationId xmlns:a16="http://schemas.microsoft.com/office/drawing/2014/main" xmlns="" id="{00000000-0008-0000-0600-000021000000}"/>
            </a:ext>
          </a:extLst>
        </xdr:cNvPr>
        <xdr:cNvSpPr>
          <a:spLocks noChangeAspect="1" noChangeArrowheads="1"/>
        </xdr:cNvSpPr>
      </xdr:nvSpPr>
      <xdr:spPr bwMode="auto">
        <a:xfrm>
          <a:off x="13496925" y="175545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52425"/>
    <xdr:sp macro="" textlink="">
      <xdr:nvSpPr>
        <xdr:cNvPr id="27" name="srpresultimg_3363435771116489834" descr="Luva Segurança Latex Antiderrapante Multiuso Eccofer Tamanho M">
          <a:extLst>
            <a:ext uri="{FF2B5EF4-FFF2-40B4-BE49-F238E27FC236}">
              <a16:creationId xmlns:a16="http://schemas.microsoft.com/office/drawing/2014/main" xmlns="" id="{00000000-0008-0000-0600-000022000000}"/>
            </a:ext>
          </a:extLst>
        </xdr:cNvPr>
        <xdr:cNvSpPr>
          <a:spLocks noChangeAspect="1" noChangeArrowheads="1"/>
        </xdr:cNvSpPr>
      </xdr:nvSpPr>
      <xdr:spPr bwMode="auto">
        <a:xfrm>
          <a:off x="15068550" y="17554575"/>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37</xdr:row>
      <xdr:rowOff>0</xdr:rowOff>
    </xdr:from>
    <xdr:ext cx="304800" cy="304800"/>
    <xdr:sp macro="" textlink="">
      <xdr:nvSpPr>
        <xdr:cNvPr id="28" name="srpresultimg_3363435771116489834" descr="Luva Segurança Latex Antiderrapante Multiuso Eccofer Tamanho M">
          <a:extLst>
            <a:ext uri="{FF2B5EF4-FFF2-40B4-BE49-F238E27FC236}">
              <a16:creationId xmlns:a16="http://schemas.microsoft.com/office/drawing/2014/main" xmlns="" id="{00000000-0008-0000-0600-000023000000}"/>
            </a:ext>
          </a:extLst>
        </xdr:cNvPr>
        <xdr:cNvSpPr>
          <a:spLocks noChangeAspect="1" noChangeArrowheads="1"/>
        </xdr:cNvSpPr>
      </xdr:nvSpPr>
      <xdr:spPr bwMode="auto">
        <a:xfrm>
          <a:off x="150685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35</xdr:row>
      <xdr:rowOff>0</xdr:rowOff>
    </xdr:from>
    <xdr:ext cx="304800" cy="304800"/>
    <xdr:sp macro="" textlink="">
      <xdr:nvSpPr>
        <xdr:cNvPr id="29" name="srpresultimg_11719798104974158439" descr="Podador de Cerca Viva Gasolina VP2450 1,10HP 2T 24,5cc Profissional Vulcan">
          <a:extLst>
            <a:ext uri="{FF2B5EF4-FFF2-40B4-BE49-F238E27FC236}">
              <a16:creationId xmlns:a16="http://schemas.microsoft.com/office/drawing/2014/main" xmlns="" id="{00000000-0008-0000-0600-000029000000}"/>
            </a:ext>
          </a:extLst>
        </xdr:cNvPr>
        <xdr:cNvSpPr>
          <a:spLocks noChangeAspect="1" noChangeArrowheads="1"/>
        </xdr:cNvSpPr>
      </xdr:nvSpPr>
      <xdr:spPr bwMode="auto">
        <a:xfrm>
          <a:off x="1787842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52425"/>
    <xdr:sp macro="" textlink="">
      <xdr:nvSpPr>
        <xdr:cNvPr id="30" name="srpresultimg_3363435771116489834" descr="Luva Segurança Latex Antiderrapante Multiuso Eccofer Tamanho M">
          <a:extLst>
            <a:ext uri="{FF2B5EF4-FFF2-40B4-BE49-F238E27FC236}">
              <a16:creationId xmlns:a16="http://schemas.microsoft.com/office/drawing/2014/main" xmlns="" id="{00000000-0008-0000-0600-00002A000000}"/>
            </a:ext>
          </a:extLst>
        </xdr:cNvPr>
        <xdr:cNvSpPr>
          <a:spLocks noChangeAspect="1" noChangeArrowheads="1"/>
        </xdr:cNvSpPr>
      </xdr:nvSpPr>
      <xdr:spPr bwMode="auto">
        <a:xfrm>
          <a:off x="13496925"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31" name="srpresultimg_3363435771116489834" descr="Luva Segurança Latex Antiderrapante Multiuso Eccofer Tamanho M">
          <a:extLst>
            <a:ext uri="{FF2B5EF4-FFF2-40B4-BE49-F238E27FC236}">
              <a16:creationId xmlns:a16="http://schemas.microsoft.com/office/drawing/2014/main" xmlns="" id="{00000000-0008-0000-0600-00002B000000}"/>
            </a:ext>
          </a:extLst>
        </xdr:cNvPr>
        <xdr:cNvSpPr>
          <a:spLocks noChangeAspect="1" noChangeArrowheads="1"/>
        </xdr:cNvSpPr>
      </xdr:nvSpPr>
      <xdr:spPr bwMode="auto">
        <a:xfrm>
          <a:off x="1349692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04800"/>
    <xdr:sp macro="" textlink="">
      <xdr:nvSpPr>
        <xdr:cNvPr id="32" name="srpresultimg_3363435771116489834" descr="Luva Segurança Latex Antiderrapante Multiuso Eccofer Tamanho M">
          <a:extLst>
            <a:ext uri="{FF2B5EF4-FFF2-40B4-BE49-F238E27FC236}">
              <a16:creationId xmlns:a16="http://schemas.microsoft.com/office/drawing/2014/main" xmlns="" id="{00000000-0008-0000-0600-00002C000000}"/>
            </a:ext>
          </a:extLst>
        </xdr:cNvPr>
        <xdr:cNvSpPr>
          <a:spLocks noChangeAspect="1" noChangeArrowheads="1"/>
        </xdr:cNvSpPr>
      </xdr:nvSpPr>
      <xdr:spPr bwMode="auto">
        <a:xfrm>
          <a:off x="15068550"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52425"/>
    <xdr:sp macro="" textlink="">
      <xdr:nvSpPr>
        <xdr:cNvPr id="33" name="srpresultimg_3363435771116489834" descr="Luva Segurança Latex Antiderrapante Multiuso Eccofer Tamanho M">
          <a:extLst>
            <a:ext uri="{FF2B5EF4-FFF2-40B4-BE49-F238E27FC236}">
              <a16:creationId xmlns:a16="http://schemas.microsoft.com/office/drawing/2014/main" xmlns="" id="{00000000-0008-0000-0600-00002D000000}"/>
            </a:ext>
          </a:extLst>
        </xdr:cNvPr>
        <xdr:cNvSpPr>
          <a:spLocks noChangeAspect="1" noChangeArrowheads="1"/>
        </xdr:cNvSpPr>
      </xdr:nvSpPr>
      <xdr:spPr bwMode="auto">
        <a:xfrm>
          <a:off x="13496925"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34" name="srpresultimg_3363435771116489834" descr="Luva Segurança Latex Antiderrapante Multiuso Eccofer Tamanho M">
          <a:extLst>
            <a:ext uri="{FF2B5EF4-FFF2-40B4-BE49-F238E27FC236}">
              <a16:creationId xmlns:a16="http://schemas.microsoft.com/office/drawing/2014/main" xmlns="" id="{00000000-0008-0000-0600-00002E000000}"/>
            </a:ext>
          </a:extLst>
        </xdr:cNvPr>
        <xdr:cNvSpPr>
          <a:spLocks noChangeAspect="1" noChangeArrowheads="1"/>
        </xdr:cNvSpPr>
      </xdr:nvSpPr>
      <xdr:spPr bwMode="auto">
        <a:xfrm>
          <a:off x="1349692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52425"/>
    <xdr:sp macro="" textlink="">
      <xdr:nvSpPr>
        <xdr:cNvPr id="35" name="srpresultimg_3363435771116489834" descr="Luva Segurança Latex Antiderrapante Multiuso Eccofer Tamanho M">
          <a:extLst>
            <a:ext uri="{FF2B5EF4-FFF2-40B4-BE49-F238E27FC236}">
              <a16:creationId xmlns:a16="http://schemas.microsoft.com/office/drawing/2014/main" xmlns="" id="{00000000-0008-0000-0600-00002F000000}"/>
            </a:ext>
          </a:extLst>
        </xdr:cNvPr>
        <xdr:cNvSpPr>
          <a:spLocks noChangeAspect="1" noChangeArrowheads="1"/>
        </xdr:cNvSpPr>
      </xdr:nvSpPr>
      <xdr:spPr bwMode="auto">
        <a:xfrm>
          <a:off x="15068550"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04800"/>
    <xdr:sp macro="" textlink="">
      <xdr:nvSpPr>
        <xdr:cNvPr id="36" name="srpresultimg_3363435771116489834" descr="Luva Segurança Latex Antiderrapante Multiuso Eccofer Tamanho M">
          <a:extLst>
            <a:ext uri="{FF2B5EF4-FFF2-40B4-BE49-F238E27FC236}">
              <a16:creationId xmlns:a16="http://schemas.microsoft.com/office/drawing/2014/main" xmlns="" id="{00000000-0008-0000-0600-000030000000}"/>
            </a:ext>
          </a:extLst>
        </xdr:cNvPr>
        <xdr:cNvSpPr>
          <a:spLocks noChangeAspect="1" noChangeArrowheads="1"/>
        </xdr:cNvSpPr>
      </xdr:nvSpPr>
      <xdr:spPr bwMode="auto">
        <a:xfrm>
          <a:off x="15068550"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35</xdr:row>
      <xdr:rowOff>0</xdr:rowOff>
    </xdr:from>
    <xdr:ext cx="304800" cy="304800"/>
    <xdr:sp macro="" textlink="">
      <xdr:nvSpPr>
        <xdr:cNvPr id="37" name="srpresultimg_11719798104974158439" descr="Podador de Cerca Viva Gasolina VP2450 1,10HP 2T 24,5cc Profissional Vulcan">
          <a:extLst>
            <a:ext uri="{FF2B5EF4-FFF2-40B4-BE49-F238E27FC236}">
              <a16:creationId xmlns:a16="http://schemas.microsoft.com/office/drawing/2014/main" xmlns="" id="{00000000-0008-0000-0600-000031000000}"/>
            </a:ext>
          </a:extLst>
        </xdr:cNvPr>
        <xdr:cNvSpPr>
          <a:spLocks noChangeAspect="1" noChangeArrowheads="1"/>
        </xdr:cNvSpPr>
      </xdr:nvSpPr>
      <xdr:spPr bwMode="auto">
        <a:xfrm>
          <a:off x="1787842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52425"/>
    <xdr:sp macro="" textlink="">
      <xdr:nvSpPr>
        <xdr:cNvPr id="38" name="srpresultimg_3363435771116489834" descr="Luva Segurança Latex Antiderrapante Multiuso Eccofer Tamanho M">
          <a:extLst>
            <a:ext uri="{FF2B5EF4-FFF2-40B4-BE49-F238E27FC236}">
              <a16:creationId xmlns:a16="http://schemas.microsoft.com/office/drawing/2014/main" xmlns="" id="{00000000-0008-0000-0600-000032000000}"/>
            </a:ext>
          </a:extLst>
        </xdr:cNvPr>
        <xdr:cNvSpPr>
          <a:spLocks noChangeAspect="1" noChangeArrowheads="1"/>
        </xdr:cNvSpPr>
      </xdr:nvSpPr>
      <xdr:spPr bwMode="auto">
        <a:xfrm>
          <a:off x="13496925"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39" name="srpresultimg_3363435771116489834" descr="Luva Segurança Latex Antiderrapante Multiuso Eccofer Tamanho M">
          <a:extLst>
            <a:ext uri="{FF2B5EF4-FFF2-40B4-BE49-F238E27FC236}">
              <a16:creationId xmlns:a16="http://schemas.microsoft.com/office/drawing/2014/main" xmlns="" id="{00000000-0008-0000-0600-000033000000}"/>
            </a:ext>
          </a:extLst>
        </xdr:cNvPr>
        <xdr:cNvSpPr>
          <a:spLocks noChangeAspect="1" noChangeArrowheads="1"/>
        </xdr:cNvSpPr>
      </xdr:nvSpPr>
      <xdr:spPr bwMode="auto">
        <a:xfrm>
          <a:off x="1349692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52425"/>
    <xdr:sp macro="" textlink="">
      <xdr:nvSpPr>
        <xdr:cNvPr id="40" name="srpresultimg_3363435771116489834" descr="Luva Segurança Latex Antiderrapante Multiuso Eccofer Tamanho M">
          <a:extLst>
            <a:ext uri="{FF2B5EF4-FFF2-40B4-BE49-F238E27FC236}">
              <a16:creationId xmlns:a16="http://schemas.microsoft.com/office/drawing/2014/main" xmlns="" id="{00000000-0008-0000-0600-000034000000}"/>
            </a:ext>
          </a:extLst>
        </xdr:cNvPr>
        <xdr:cNvSpPr>
          <a:spLocks noChangeAspect="1" noChangeArrowheads="1"/>
        </xdr:cNvSpPr>
      </xdr:nvSpPr>
      <xdr:spPr bwMode="auto">
        <a:xfrm>
          <a:off x="15068550"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04800"/>
    <xdr:sp macro="" textlink="">
      <xdr:nvSpPr>
        <xdr:cNvPr id="41" name="srpresultimg_3363435771116489834" descr="Luva Segurança Latex Antiderrapante Multiuso Eccofer Tamanho M">
          <a:extLst>
            <a:ext uri="{FF2B5EF4-FFF2-40B4-BE49-F238E27FC236}">
              <a16:creationId xmlns:a16="http://schemas.microsoft.com/office/drawing/2014/main" xmlns="" id="{00000000-0008-0000-0600-000035000000}"/>
            </a:ext>
          </a:extLst>
        </xdr:cNvPr>
        <xdr:cNvSpPr>
          <a:spLocks noChangeAspect="1" noChangeArrowheads="1"/>
        </xdr:cNvSpPr>
      </xdr:nvSpPr>
      <xdr:spPr bwMode="auto">
        <a:xfrm>
          <a:off x="15068550"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52425"/>
    <xdr:sp macro="" textlink="">
      <xdr:nvSpPr>
        <xdr:cNvPr id="42" name="srpresultimg_3363435771116489834" descr="Luva Segurança Latex Antiderrapante Multiuso Eccofer Tamanho M">
          <a:extLst>
            <a:ext uri="{FF2B5EF4-FFF2-40B4-BE49-F238E27FC236}">
              <a16:creationId xmlns:a16="http://schemas.microsoft.com/office/drawing/2014/main" xmlns="" id="{00000000-0008-0000-0600-000036000000}"/>
            </a:ext>
          </a:extLst>
        </xdr:cNvPr>
        <xdr:cNvSpPr>
          <a:spLocks noChangeAspect="1" noChangeArrowheads="1"/>
        </xdr:cNvSpPr>
      </xdr:nvSpPr>
      <xdr:spPr bwMode="auto">
        <a:xfrm>
          <a:off x="13496925"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43" name="srpresultimg_3363435771116489834" descr="Luva Segurança Latex Antiderrapante Multiuso Eccofer Tamanho M">
          <a:extLst>
            <a:ext uri="{FF2B5EF4-FFF2-40B4-BE49-F238E27FC236}">
              <a16:creationId xmlns:a16="http://schemas.microsoft.com/office/drawing/2014/main" xmlns="" id="{00000000-0008-0000-0600-000037000000}"/>
            </a:ext>
          </a:extLst>
        </xdr:cNvPr>
        <xdr:cNvSpPr>
          <a:spLocks noChangeAspect="1" noChangeArrowheads="1"/>
        </xdr:cNvSpPr>
      </xdr:nvSpPr>
      <xdr:spPr bwMode="auto">
        <a:xfrm>
          <a:off x="1349692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52425"/>
    <xdr:sp macro="" textlink="">
      <xdr:nvSpPr>
        <xdr:cNvPr id="44" name="srpresultimg_3363435771116489834" descr="Luva Segurança Latex Antiderrapante Multiuso Eccofer Tamanho M">
          <a:extLst>
            <a:ext uri="{FF2B5EF4-FFF2-40B4-BE49-F238E27FC236}">
              <a16:creationId xmlns:a16="http://schemas.microsoft.com/office/drawing/2014/main" xmlns="" id="{00000000-0008-0000-0600-000038000000}"/>
            </a:ext>
          </a:extLst>
        </xdr:cNvPr>
        <xdr:cNvSpPr>
          <a:spLocks noChangeAspect="1" noChangeArrowheads="1"/>
        </xdr:cNvSpPr>
      </xdr:nvSpPr>
      <xdr:spPr bwMode="auto">
        <a:xfrm>
          <a:off x="15068550" y="1676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35</xdr:row>
      <xdr:rowOff>0</xdr:rowOff>
    </xdr:from>
    <xdr:ext cx="304800" cy="304800"/>
    <xdr:sp macro="" textlink="">
      <xdr:nvSpPr>
        <xdr:cNvPr id="45" name="srpresultimg_3363435771116489834" descr="Luva Segurança Latex Antiderrapante Multiuso Eccofer Tamanho M">
          <a:extLst>
            <a:ext uri="{FF2B5EF4-FFF2-40B4-BE49-F238E27FC236}">
              <a16:creationId xmlns:a16="http://schemas.microsoft.com/office/drawing/2014/main" xmlns="" id="{00000000-0008-0000-0600-000039000000}"/>
            </a:ext>
          </a:extLst>
        </xdr:cNvPr>
        <xdr:cNvSpPr>
          <a:spLocks noChangeAspect="1" noChangeArrowheads="1"/>
        </xdr:cNvSpPr>
      </xdr:nvSpPr>
      <xdr:spPr bwMode="auto">
        <a:xfrm>
          <a:off x="15068550"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22</xdr:row>
      <xdr:rowOff>0</xdr:rowOff>
    </xdr:from>
    <xdr:to>
      <xdr:col>10</xdr:col>
      <xdr:colOff>304800</xdr:colOff>
      <xdr:row>23</xdr:row>
      <xdr:rowOff>110067</xdr:rowOff>
    </xdr:to>
    <xdr:sp macro="" textlink="">
      <xdr:nvSpPr>
        <xdr:cNvPr id="46" name="srpresultimg_17896933053480025557" descr="Protetor Auricular de Silicone Plug">
          <a:extLst>
            <a:ext uri="{FF2B5EF4-FFF2-40B4-BE49-F238E27FC236}">
              <a16:creationId xmlns:a16="http://schemas.microsoft.com/office/drawing/2014/main" xmlns="" id="{00000000-0008-0000-0600-00003B000000}"/>
            </a:ext>
          </a:extLst>
        </xdr:cNvPr>
        <xdr:cNvSpPr>
          <a:spLocks noChangeAspect="1" noChangeArrowheads="1"/>
        </xdr:cNvSpPr>
      </xdr:nvSpPr>
      <xdr:spPr bwMode="auto">
        <a:xfrm>
          <a:off x="11449050" y="5715000"/>
          <a:ext cx="304800" cy="300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26</xdr:row>
      <xdr:rowOff>0</xdr:rowOff>
    </xdr:from>
    <xdr:ext cx="304800" cy="352425"/>
    <xdr:sp macro="" textlink="">
      <xdr:nvSpPr>
        <xdr:cNvPr id="54"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068550" y="8953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26</xdr:row>
      <xdr:rowOff>0</xdr:rowOff>
    </xdr:from>
    <xdr:ext cx="304800" cy="304800"/>
    <xdr:sp macro="" textlink="">
      <xdr:nvSpPr>
        <xdr:cNvPr id="55"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068550" y="895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26</xdr:row>
      <xdr:rowOff>0</xdr:rowOff>
    </xdr:from>
    <xdr:ext cx="304800" cy="352425"/>
    <xdr:sp macro="" textlink="">
      <xdr:nvSpPr>
        <xdr:cNvPr id="56"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068550" y="8953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26</xdr:row>
      <xdr:rowOff>0</xdr:rowOff>
    </xdr:from>
    <xdr:ext cx="304800" cy="304800"/>
    <xdr:sp macro="" textlink="">
      <xdr:nvSpPr>
        <xdr:cNvPr id="57"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068550" y="895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58"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068550" y="914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59"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068550" y="91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52425"/>
    <xdr:sp macro="" textlink="">
      <xdr:nvSpPr>
        <xdr:cNvPr id="60"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068550" y="91440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27</xdr:row>
      <xdr:rowOff>0</xdr:rowOff>
    </xdr:from>
    <xdr:ext cx="304800" cy="304800"/>
    <xdr:sp macro="" textlink="">
      <xdr:nvSpPr>
        <xdr:cNvPr id="61"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068550" y="91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52425"/>
    <xdr:sp macro="" textlink="">
      <xdr:nvSpPr>
        <xdr:cNvPr id="62" name="srpresultimg_3363435771116489834" descr="Luva Segurança Latex Antiderrapante Multiuso Eccofer Tamanho M">
          <a:extLst>
            <a:ext uri="{FF2B5EF4-FFF2-40B4-BE49-F238E27FC236}">
              <a16:creationId xmlns:a16="http://schemas.microsoft.com/office/drawing/2014/main" xmlns="" id="{00000000-0008-0000-0600-000008000000}"/>
            </a:ext>
          </a:extLst>
        </xdr:cNvPr>
        <xdr:cNvSpPr>
          <a:spLocks noChangeAspect="1" noChangeArrowheads="1"/>
        </xdr:cNvSpPr>
      </xdr:nvSpPr>
      <xdr:spPr bwMode="auto">
        <a:xfrm>
          <a:off x="15068550" y="9334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04800"/>
    <xdr:sp macro="" textlink="">
      <xdr:nvSpPr>
        <xdr:cNvPr id="63" name="srpresultimg_3363435771116489834" descr="Luva Segurança Latex Antiderrapante Multiuso Eccofer Tamanho M">
          <a:extLst>
            <a:ext uri="{FF2B5EF4-FFF2-40B4-BE49-F238E27FC236}">
              <a16:creationId xmlns:a16="http://schemas.microsoft.com/office/drawing/2014/main" xmlns="" id="{00000000-0008-0000-0600-000009000000}"/>
            </a:ext>
          </a:extLst>
        </xdr:cNvPr>
        <xdr:cNvSpPr>
          <a:spLocks noChangeAspect="1" noChangeArrowheads="1"/>
        </xdr:cNvSpPr>
      </xdr:nvSpPr>
      <xdr:spPr bwMode="auto">
        <a:xfrm>
          <a:off x="15068550" y="933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52425"/>
    <xdr:sp macro="" textlink="">
      <xdr:nvSpPr>
        <xdr:cNvPr id="64" name="srpresultimg_3363435771116489834" descr="Luva Segurança Latex Antiderrapante Multiuso Eccofer Tamanho M">
          <a:extLst>
            <a:ext uri="{FF2B5EF4-FFF2-40B4-BE49-F238E27FC236}">
              <a16:creationId xmlns:a16="http://schemas.microsoft.com/office/drawing/2014/main" xmlns="" id="{00000000-0008-0000-0600-00000C000000}"/>
            </a:ext>
          </a:extLst>
        </xdr:cNvPr>
        <xdr:cNvSpPr>
          <a:spLocks noChangeAspect="1" noChangeArrowheads="1"/>
        </xdr:cNvSpPr>
      </xdr:nvSpPr>
      <xdr:spPr bwMode="auto">
        <a:xfrm>
          <a:off x="15068550" y="9334500"/>
          <a:ext cx="304800" cy="3524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28</xdr:row>
      <xdr:rowOff>0</xdr:rowOff>
    </xdr:from>
    <xdr:ext cx="304800" cy="304800"/>
    <xdr:sp macro="" textlink="">
      <xdr:nvSpPr>
        <xdr:cNvPr id="65" name="srpresultimg_3363435771116489834" descr="Luva Segurança Latex Antiderrapante Multiuso Eccofer Tamanho M">
          <a:extLst>
            <a:ext uri="{FF2B5EF4-FFF2-40B4-BE49-F238E27FC236}">
              <a16:creationId xmlns:a16="http://schemas.microsoft.com/office/drawing/2014/main" xmlns="" id="{00000000-0008-0000-0600-00000D000000}"/>
            </a:ext>
          </a:extLst>
        </xdr:cNvPr>
        <xdr:cNvSpPr>
          <a:spLocks noChangeAspect="1" noChangeArrowheads="1"/>
        </xdr:cNvSpPr>
      </xdr:nvSpPr>
      <xdr:spPr bwMode="auto">
        <a:xfrm>
          <a:off x="15068550" y="933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comprasgovernamentais.gov.br/index.php/noticias/942-planilha-noticia"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comprasgovernamentais.gov.br/index.php/noticias/942-planilha-noticia"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showGridLines="0" tabSelected="1" zoomScale="130" zoomScaleNormal="130" workbookViewId="0">
      <selection activeCell="D17" sqref="D17:G17"/>
    </sheetView>
  </sheetViews>
  <sheetFormatPr defaultRowHeight="15" x14ac:dyDescent="0.25"/>
  <cols>
    <col min="1" max="1" width="2.140625" style="4" customWidth="1"/>
    <col min="2" max="2" width="6.140625" style="4" customWidth="1"/>
    <col min="3" max="3" width="6" style="5" customWidth="1"/>
    <col min="4" max="4" width="35" style="4" customWidth="1"/>
    <col min="5" max="5" width="11.28515625" style="4" customWidth="1"/>
    <col min="6" max="7" width="11" style="4" customWidth="1"/>
    <col min="8" max="8" width="13.5703125" style="4" customWidth="1"/>
    <col min="9" max="9" width="17.42578125" style="4" customWidth="1"/>
    <col min="10" max="10" width="18.28515625" style="4" bestFit="1" customWidth="1"/>
    <col min="11" max="11" width="6" style="169" customWidth="1"/>
    <col min="12" max="12" width="10.140625" style="5" customWidth="1"/>
    <col min="13" max="13" width="11.85546875" style="4" customWidth="1"/>
    <col min="14" max="16384" width="9.140625" style="4"/>
  </cols>
  <sheetData>
    <row r="1" spans="2:14" x14ac:dyDescent="0.25">
      <c r="K1" s="168"/>
      <c r="L1" s="155"/>
      <c r="M1" s="154"/>
      <c r="N1" s="154"/>
    </row>
    <row r="2" spans="2:14" ht="15.75" x14ac:dyDescent="0.25">
      <c r="B2" s="1" t="s">
        <v>250</v>
      </c>
      <c r="C2" s="2"/>
      <c r="D2" s="2"/>
      <c r="E2" s="2"/>
      <c r="F2" s="2"/>
      <c r="G2" s="2"/>
      <c r="H2" s="2"/>
      <c r="I2" s="2"/>
      <c r="J2" s="3"/>
      <c r="K2" s="168"/>
      <c r="L2" s="155"/>
      <c r="M2" s="154"/>
      <c r="N2" s="154"/>
    </row>
    <row r="3" spans="2:14" x14ac:dyDescent="0.25">
      <c r="J3" s="6">
        <v>12</v>
      </c>
      <c r="K3" s="168"/>
      <c r="L3" s="155"/>
      <c r="M3" s="154"/>
      <c r="N3" s="154"/>
    </row>
    <row r="4" spans="2:14" ht="15.75" x14ac:dyDescent="0.25">
      <c r="B4" s="213" t="s">
        <v>205</v>
      </c>
      <c r="C4" s="214"/>
      <c r="D4" s="214"/>
      <c r="E4" s="214"/>
      <c r="F4" s="214"/>
      <c r="G4" s="214"/>
      <c r="H4" s="214"/>
      <c r="I4" s="214"/>
      <c r="J4" s="214"/>
      <c r="K4" s="168"/>
      <c r="L4" s="155"/>
      <c r="M4" s="154"/>
      <c r="N4" s="154"/>
    </row>
    <row r="5" spans="2:14" ht="45" customHeight="1" x14ac:dyDescent="0.25">
      <c r="B5" s="7" t="s">
        <v>0</v>
      </c>
      <c r="C5" s="8" t="s">
        <v>1</v>
      </c>
      <c r="D5" s="8" t="s">
        <v>2</v>
      </c>
      <c r="E5" s="7" t="s">
        <v>244</v>
      </c>
      <c r="F5" s="7" t="s">
        <v>3</v>
      </c>
      <c r="G5" s="7" t="s">
        <v>4</v>
      </c>
      <c r="H5" s="9" t="s">
        <v>5</v>
      </c>
      <c r="I5" s="9" t="s">
        <v>6</v>
      </c>
      <c r="J5" s="9" t="s">
        <v>200</v>
      </c>
      <c r="K5" s="168"/>
      <c r="L5" s="155"/>
      <c r="M5" s="154"/>
      <c r="N5" s="154"/>
    </row>
    <row r="6" spans="2:14" ht="28.5" customHeight="1" x14ac:dyDescent="0.25">
      <c r="B6" s="220">
        <v>1</v>
      </c>
      <c r="C6" s="184">
        <v>1</v>
      </c>
      <c r="D6" s="10" t="s">
        <v>7</v>
      </c>
      <c r="E6" s="11" t="s">
        <v>245</v>
      </c>
      <c r="F6" s="11">
        <v>10</v>
      </c>
      <c r="G6" s="11">
        <v>10</v>
      </c>
      <c r="H6" s="150">
        <f>'3. PCUST_OPER RURAL'!D141</f>
        <v>0</v>
      </c>
      <c r="I6" s="12">
        <f>(G6*H6)</f>
        <v>0</v>
      </c>
      <c r="J6" s="13">
        <f>(I6*$J$3)</f>
        <v>0</v>
      </c>
      <c r="K6" s="168"/>
      <c r="L6" s="157"/>
      <c r="M6" s="157"/>
      <c r="N6" s="154"/>
    </row>
    <row r="7" spans="2:14" ht="28.5" customHeight="1" x14ac:dyDescent="0.25">
      <c r="B7" s="220"/>
      <c r="C7" s="184">
        <v>2</v>
      </c>
      <c r="D7" s="10" t="s">
        <v>230</v>
      </c>
      <c r="E7" s="11" t="s">
        <v>245</v>
      </c>
      <c r="F7" s="11">
        <v>2</v>
      </c>
      <c r="G7" s="11">
        <v>2</v>
      </c>
      <c r="H7" s="150">
        <f>'4. PCUST_ROÇADOR'!D141</f>
        <v>0</v>
      </c>
      <c r="I7" s="12">
        <f>(G7*H7)</f>
        <v>0</v>
      </c>
      <c r="J7" s="13">
        <f>(I7*$J$3)</f>
        <v>0</v>
      </c>
      <c r="K7" s="168"/>
      <c r="L7" s="157"/>
      <c r="M7" s="157"/>
      <c r="N7" s="154"/>
    </row>
    <row r="8" spans="2:14" s="16" customFormat="1" ht="24" customHeight="1" x14ac:dyDescent="0.25">
      <c r="B8" s="220"/>
      <c r="C8" s="215" t="s">
        <v>206</v>
      </c>
      <c r="D8" s="216"/>
      <c r="E8" s="187"/>
      <c r="F8" s="9">
        <f>SUM(F6:F7)</f>
        <v>12</v>
      </c>
      <c r="G8" s="9">
        <f>SUM(G6:G7)</f>
        <v>12</v>
      </c>
      <c r="H8" s="5"/>
      <c r="I8" s="14">
        <f>SUM(I6:I7)</f>
        <v>0</v>
      </c>
      <c r="J8" s="15">
        <f>SUM(J6:J7)</f>
        <v>0</v>
      </c>
      <c r="K8" s="168"/>
      <c r="L8" s="122"/>
      <c r="M8" s="122"/>
      <c r="N8" s="122"/>
    </row>
    <row r="9" spans="2:14" x14ac:dyDescent="0.25">
      <c r="B9" s="220"/>
      <c r="D9" s="5"/>
      <c r="E9" s="5"/>
      <c r="F9" s="5"/>
      <c r="G9" s="5"/>
      <c r="H9" s="5"/>
      <c r="I9" s="5"/>
      <c r="K9" s="168"/>
      <c r="L9" s="155"/>
      <c r="M9" s="154"/>
      <c r="N9" s="154"/>
    </row>
    <row r="10" spans="2:14" ht="15.75" x14ac:dyDescent="0.25">
      <c r="B10" s="220"/>
      <c r="C10" s="214" t="s">
        <v>204</v>
      </c>
      <c r="D10" s="214"/>
      <c r="E10" s="214"/>
      <c r="F10" s="214"/>
      <c r="G10" s="214"/>
      <c r="H10" s="214"/>
      <c r="I10" s="214"/>
      <c r="J10" s="214"/>
      <c r="K10" s="168"/>
      <c r="L10" s="155"/>
      <c r="M10" s="154"/>
      <c r="N10" s="154"/>
    </row>
    <row r="11" spans="2:14" x14ac:dyDescent="0.25">
      <c r="B11" s="220"/>
      <c r="C11" s="185" t="s">
        <v>1</v>
      </c>
      <c r="D11" s="179" t="s">
        <v>8</v>
      </c>
      <c r="E11" s="180"/>
      <c r="F11" s="180"/>
      <c r="G11" s="181"/>
      <c r="H11" s="8" t="s">
        <v>9</v>
      </c>
      <c r="I11" s="17" t="s">
        <v>10</v>
      </c>
      <c r="J11" s="8" t="s">
        <v>201</v>
      </c>
      <c r="K11" s="168"/>
      <c r="L11" s="155"/>
      <c r="M11" s="154"/>
      <c r="N11" s="154"/>
    </row>
    <row r="12" spans="2:14" x14ac:dyDescent="0.25">
      <c r="B12" s="220"/>
      <c r="C12" s="221">
        <v>3</v>
      </c>
      <c r="D12" s="224" t="s">
        <v>11</v>
      </c>
      <c r="E12" s="225"/>
      <c r="F12" s="225"/>
      <c r="G12" s="226"/>
      <c r="H12" s="18"/>
      <c r="I12" s="12">
        <f>'1.OPERÁRIO RURAL - MAT.'!I57</f>
        <v>0</v>
      </c>
      <c r="J12" s="19">
        <f>I12*12</f>
        <v>0</v>
      </c>
      <c r="K12" s="168"/>
      <c r="L12" s="155"/>
      <c r="M12" s="154"/>
      <c r="N12" s="154"/>
    </row>
    <row r="13" spans="2:14" x14ac:dyDescent="0.25">
      <c r="B13" s="220"/>
      <c r="C13" s="222"/>
      <c r="D13" s="227" t="s">
        <v>12</v>
      </c>
      <c r="E13" s="228"/>
      <c r="F13" s="228"/>
      <c r="G13" s="229"/>
      <c r="H13" s="20"/>
      <c r="I13" s="21">
        <f>SUM(I12:I12)</f>
        <v>0</v>
      </c>
      <c r="J13" s="22">
        <f>SUM(J12:J12)</f>
        <v>0</v>
      </c>
      <c r="K13" s="168"/>
      <c r="L13" s="155"/>
      <c r="M13" s="154"/>
      <c r="N13" s="154"/>
    </row>
    <row r="14" spans="2:14" x14ac:dyDescent="0.25">
      <c r="B14" s="220"/>
      <c r="C14" s="222"/>
      <c r="D14" s="224" t="s">
        <v>13</v>
      </c>
      <c r="E14" s="225"/>
      <c r="F14" s="225"/>
      <c r="G14" s="226"/>
      <c r="H14" s="23"/>
      <c r="I14" s="12">
        <f>I13*H14</f>
        <v>0</v>
      </c>
      <c r="J14" s="19">
        <f>J13*H14</f>
        <v>0</v>
      </c>
      <c r="K14" s="168"/>
      <c r="L14" s="155"/>
      <c r="M14" s="154"/>
      <c r="N14" s="154"/>
    </row>
    <row r="15" spans="2:14" x14ac:dyDescent="0.25">
      <c r="B15" s="220"/>
      <c r="C15" s="222"/>
      <c r="D15" s="224" t="s">
        <v>14</v>
      </c>
      <c r="E15" s="225"/>
      <c r="F15" s="225"/>
      <c r="G15" s="226"/>
      <c r="H15" s="23"/>
      <c r="I15" s="12">
        <f>(I13+I14)*H15</f>
        <v>0</v>
      </c>
      <c r="J15" s="24">
        <f>(J13+J14)*H15</f>
        <v>0</v>
      </c>
      <c r="K15" s="168"/>
      <c r="L15" s="156"/>
      <c r="M15" s="154"/>
      <c r="N15" s="154"/>
    </row>
    <row r="16" spans="2:14" x14ac:dyDescent="0.25">
      <c r="B16" s="220"/>
      <c r="C16" s="222"/>
      <c r="D16" s="227" t="s">
        <v>226</v>
      </c>
      <c r="E16" s="228"/>
      <c r="F16" s="228"/>
      <c r="G16" s="229"/>
      <c r="H16" s="20"/>
      <c r="I16" s="21">
        <f>I13+I14+I15</f>
        <v>0</v>
      </c>
      <c r="J16" s="22">
        <f>J13+J14+J15</f>
        <v>0</v>
      </c>
      <c r="K16" s="168"/>
      <c r="L16" s="157"/>
      <c r="M16" s="154"/>
      <c r="N16" s="154"/>
    </row>
    <row r="17" spans="2:14" x14ac:dyDescent="0.25">
      <c r="B17" s="220"/>
      <c r="C17" s="223"/>
      <c r="D17" s="217" t="s">
        <v>227</v>
      </c>
      <c r="E17" s="218"/>
      <c r="F17" s="218"/>
      <c r="G17" s="219"/>
      <c r="H17" s="25"/>
      <c r="I17" s="26">
        <f>I16/0.9135</f>
        <v>0</v>
      </c>
      <c r="J17" s="27">
        <f>J16/0.9135</f>
        <v>0</v>
      </c>
      <c r="K17" s="168"/>
      <c r="L17" s="157"/>
      <c r="M17" s="154"/>
      <c r="N17" s="154"/>
    </row>
    <row r="18" spans="2:14" x14ac:dyDescent="0.25">
      <c r="B18" s="220"/>
      <c r="C18" s="146"/>
      <c r="D18" s="146"/>
      <c r="E18" s="186"/>
      <c r="F18" s="146"/>
      <c r="G18" s="146"/>
      <c r="H18" s="147"/>
      <c r="I18" s="148"/>
      <c r="J18" s="149"/>
      <c r="K18" s="168"/>
      <c r="L18" s="155"/>
      <c r="M18" s="154"/>
      <c r="N18" s="154"/>
    </row>
    <row r="19" spans="2:14" ht="15.75" x14ac:dyDescent="0.25">
      <c r="B19" s="220"/>
      <c r="C19" s="214" t="s">
        <v>16</v>
      </c>
      <c r="D19" s="214"/>
      <c r="E19" s="214"/>
      <c r="F19" s="214"/>
      <c r="G19" s="214"/>
      <c r="H19" s="214"/>
      <c r="I19" s="214"/>
      <c r="J19" s="214"/>
    </row>
    <row r="20" spans="2:14" x14ac:dyDescent="0.25">
      <c r="B20" s="220"/>
      <c r="C20" s="180" t="s">
        <v>15</v>
      </c>
      <c r="D20" s="180"/>
      <c r="E20" s="180"/>
      <c r="F20" s="180"/>
      <c r="G20" s="180"/>
      <c r="H20" s="181"/>
      <c r="I20" s="8" t="s">
        <v>10</v>
      </c>
      <c r="J20" s="8" t="s">
        <v>201</v>
      </c>
    </row>
    <row r="21" spans="2:14" x14ac:dyDescent="0.25">
      <c r="B21" s="220"/>
      <c r="C21" s="182" t="s">
        <v>17</v>
      </c>
      <c r="D21" s="182"/>
      <c r="E21" s="182"/>
      <c r="F21" s="182"/>
      <c r="G21" s="182"/>
      <c r="H21" s="183"/>
      <c r="I21" s="12">
        <f>I8</f>
        <v>0</v>
      </c>
      <c r="J21" s="259">
        <f>J8</f>
        <v>0</v>
      </c>
    </row>
    <row r="22" spans="2:14" x14ac:dyDescent="0.25">
      <c r="B22" s="220"/>
      <c r="C22" s="182" t="s">
        <v>18</v>
      </c>
      <c r="D22" s="182"/>
      <c r="E22" s="182"/>
      <c r="F22" s="182"/>
      <c r="G22" s="182"/>
      <c r="H22" s="183"/>
      <c r="I22" s="12">
        <f>I17</f>
        <v>0</v>
      </c>
      <c r="J22" s="259">
        <f>J17</f>
        <v>0</v>
      </c>
    </row>
    <row r="23" spans="2:14" x14ac:dyDescent="0.25">
      <c r="B23" s="220"/>
      <c r="C23" s="180" t="s">
        <v>251</v>
      </c>
      <c r="D23" s="180"/>
      <c r="E23" s="180"/>
      <c r="F23" s="180"/>
      <c r="G23" s="180"/>
      <c r="H23" s="181"/>
      <c r="I23" s="26">
        <f>SUM(I20:I22)</f>
        <v>0</v>
      </c>
      <c r="J23" s="27">
        <f>SUM(J20:J22)</f>
        <v>0</v>
      </c>
    </row>
    <row r="24" spans="2:14" x14ac:dyDescent="0.25">
      <c r="B24" s="212"/>
      <c r="C24" s="212"/>
      <c r="D24" s="212"/>
      <c r="E24" s="212"/>
      <c r="F24" s="212"/>
      <c r="G24" s="212"/>
      <c r="H24" s="212"/>
      <c r="I24" s="165"/>
      <c r="J24" s="166"/>
    </row>
    <row r="25" spans="2:14" x14ac:dyDescent="0.25">
      <c r="C25" s="4"/>
    </row>
  </sheetData>
  <mergeCells count="13">
    <mergeCell ref="B24:H24"/>
    <mergeCell ref="B4:J4"/>
    <mergeCell ref="C8:D8"/>
    <mergeCell ref="D17:G17"/>
    <mergeCell ref="B6:B23"/>
    <mergeCell ref="C19:J19"/>
    <mergeCell ref="C10:J10"/>
    <mergeCell ref="C12:C17"/>
    <mergeCell ref="D12:G12"/>
    <mergeCell ref="D14:G14"/>
    <mergeCell ref="D15:G15"/>
    <mergeCell ref="D13:G13"/>
    <mergeCell ref="D16:G16"/>
  </mergeCells>
  <pageMargins left="0.511811024" right="0.511811024" top="0.78740157499999996" bottom="0.78740157499999996" header="0.31496062000000002" footer="0.31496062000000002"/>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64"/>
  <sheetViews>
    <sheetView showGridLines="0" zoomScale="80" zoomScaleNormal="80" workbookViewId="0">
      <selection activeCell="M38" sqref="M38"/>
    </sheetView>
  </sheetViews>
  <sheetFormatPr defaultRowHeight="15" x14ac:dyDescent="0.25"/>
  <cols>
    <col min="1" max="1" width="2" style="36" customWidth="1"/>
    <col min="2" max="2" width="7.42578125" style="36" customWidth="1"/>
    <col min="3" max="3" width="71.28515625" style="36" customWidth="1"/>
    <col min="4" max="4" width="13.42578125" style="36" customWidth="1"/>
    <col min="5" max="6" width="13.5703125" style="36" bestFit="1" customWidth="1"/>
    <col min="7" max="7" width="13.85546875" style="36" bestFit="1" customWidth="1"/>
    <col min="8" max="8" width="15" style="36" customWidth="1"/>
    <col min="9" max="9" width="13.28515625" style="36" customWidth="1"/>
    <col min="10" max="10" width="12" style="36" bestFit="1" customWidth="1"/>
    <col min="11" max="11" width="13.42578125" style="67" customWidth="1"/>
    <col min="12" max="12" width="17.28515625" style="67" customWidth="1"/>
    <col min="13" max="13" width="23.5703125" style="67" customWidth="1"/>
    <col min="14" max="14" width="11" style="67" customWidth="1"/>
    <col min="15" max="15" width="12.85546875" style="36" customWidth="1"/>
    <col min="16" max="16384" width="9.140625" style="36"/>
  </cols>
  <sheetData>
    <row r="2" spans="1:22" s="35" customFormat="1" x14ac:dyDescent="0.25">
      <c r="B2" s="35" t="s">
        <v>213</v>
      </c>
      <c r="K2" s="66"/>
      <c r="L2" s="66"/>
      <c r="M2" s="66"/>
      <c r="N2" s="66"/>
    </row>
    <row r="3" spans="1:22" s="35" customFormat="1" x14ac:dyDescent="0.25">
      <c r="G3" s="66"/>
      <c r="H3" s="66">
        <v>12</v>
      </c>
      <c r="J3" s="66"/>
      <c r="K3" s="66"/>
      <c r="L3" s="66"/>
      <c r="M3" s="66"/>
    </row>
    <row r="4" spans="1:22" s="38" customFormat="1" ht="45" x14ac:dyDescent="0.25">
      <c r="B4" s="40" t="s">
        <v>1</v>
      </c>
      <c r="C4" s="40" t="s">
        <v>19</v>
      </c>
      <c r="D4" s="40" t="s">
        <v>20</v>
      </c>
      <c r="E4" s="65" t="s">
        <v>39</v>
      </c>
      <c r="F4" s="46" t="s">
        <v>21</v>
      </c>
      <c r="G4" s="45" t="s">
        <v>22</v>
      </c>
      <c r="H4" s="46" t="s">
        <v>23</v>
      </c>
      <c r="I4" s="35"/>
      <c r="J4" s="67"/>
      <c r="K4" s="67"/>
      <c r="L4" s="67"/>
      <c r="M4" s="66"/>
    </row>
    <row r="5" spans="1:22" ht="30" x14ac:dyDescent="0.25">
      <c r="B5" s="48">
        <v>1</v>
      </c>
      <c r="C5" s="33" t="s">
        <v>82</v>
      </c>
      <c r="D5" s="28" t="s">
        <v>20</v>
      </c>
      <c r="E5" s="29"/>
      <c r="F5" s="68">
        <v>4</v>
      </c>
      <c r="G5" s="51">
        <f>(E5*F5)</f>
        <v>0</v>
      </c>
      <c r="H5" s="51">
        <f>(G5/$H$3)</f>
        <v>0</v>
      </c>
      <c r="I5" s="35"/>
      <c r="J5" s="67"/>
      <c r="N5" s="36"/>
      <c r="O5" s="69"/>
    </row>
    <row r="6" spans="1:22" ht="45" x14ac:dyDescent="0.25">
      <c r="B6" s="28">
        <v>2</v>
      </c>
      <c r="C6" s="33" t="s">
        <v>86</v>
      </c>
      <c r="D6" s="28" t="s">
        <v>20</v>
      </c>
      <c r="E6" s="29"/>
      <c r="F6" s="68">
        <v>4</v>
      </c>
      <c r="G6" s="51">
        <f t="shared" ref="G6:G10" si="0">(E6*F6)</f>
        <v>0</v>
      </c>
      <c r="H6" s="51">
        <f t="shared" ref="H6:H10" si="1">(G6/$H$3)</f>
        <v>0</v>
      </c>
      <c r="I6" s="35"/>
      <c r="J6" s="67"/>
      <c r="N6" s="36"/>
    </row>
    <row r="7" spans="1:22" x14ac:dyDescent="0.25">
      <c r="B7" s="28">
        <v>3</v>
      </c>
      <c r="C7" s="33" t="s">
        <v>83</v>
      </c>
      <c r="D7" s="28" t="s">
        <v>20</v>
      </c>
      <c r="E7" s="29"/>
      <c r="F7" s="68">
        <v>4</v>
      </c>
      <c r="G7" s="51">
        <f t="shared" si="0"/>
        <v>0</v>
      </c>
      <c r="H7" s="51">
        <f t="shared" si="1"/>
        <v>0</v>
      </c>
      <c r="I7" s="35"/>
      <c r="J7" s="67"/>
      <c r="N7" s="36"/>
    </row>
    <row r="8" spans="1:22" x14ac:dyDescent="0.25">
      <c r="B8" s="48">
        <v>4</v>
      </c>
      <c r="C8" s="33" t="s">
        <v>42</v>
      </c>
      <c r="D8" s="28" t="s">
        <v>24</v>
      </c>
      <c r="E8" s="29"/>
      <c r="F8" s="68">
        <v>4</v>
      </c>
      <c r="G8" s="51">
        <f t="shared" si="0"/>
        <v>0</v>
      </c>
      <c r="H8" s="51">
        <f t="shared" si="1"/>
        <v>0</v>
      </c>
      <c r="I8" s="35"/>
      <c r="J8" s="70"/>
      <c r="K8" s="71"/>
      <c r="L8" s="71"/>
      <c r="N8" s="36"/>
    </row>
    <row r="9" spans="1:22" ht="30" x14ac:dyDescent="0.25">
      <c r="B9" s="28">
        <v>5</v>
      </c>
      <c r="C9" s="34" t="s">
        <v>84</v>
      </c>
      <c r="D9" s="28" t="s">
        <v>24</v>
      </c>
      <c r="E9" s="29"/>
      <c r="F9" s="68">
        <v>2</v>
      </c>
      <c r="G9" s="51">
        <f t="shared" si="0"/>
        <v>0</v>
      </c>
      <c r="H9" s="51">
        <f t="shared" si="1"/>
        <v>0</v>
      </c>
      <c r="I9" s="35"/>
      <c r="J9" s="67"/>
      <c r="N9" s="36"/>
    </row>
    <row r="10" spans="1:22" x14ac:dyDescent="0.25">
      <c r="B10" s="28">
        <v>6</v>
      </c>
      <c r="C10" s="34" t="s">
        <v>27</v>
      </c>
      <c r="D10" s="28" t="s">
        <v>20</v>
      </c>
      <c r="E10" s="29"/>
      <c r="F10" s="68">
        <v>1</v>
      </c>
      <c r="G10" s="51">
        <f t="shared" si="0"/>
        <v>0</v>
      </c>
      <c r="H10" s="51">
        <f t="shared" si="1"/>
        <v>0</v>
      </c>
      <c r="I10" s="35"/>
      <c r="J10" s="67"/>
      <c r="N10" s="36"/>
    </row>
    <row r="11" spans="1:22" x14ac:dyDescent="0.25">
      <c r="B11" s="230" t="s">
        <v>26</v>
      </c>
      <c r="C11" s="231"/>
      <c r="D11" s="231"/>
      <c r="E11" s="231"/>
      <c r="F11" s="232"/>
      <c r="G11" s="39">
        <f>SUM(G5:G10)</f>
        <v>0</v>
      </c>
      <c r="H11" s="37">
        <f>SUM(H5:H10)</f>
        <v>0</v>
      </c>
      <c r="I11" s="35"/>
      <c r="J11" s="67"/>
      <c r="N11" s="36"/>
    </row>
    <row r="13" spans="1:22" s="35" customFormat="1" x14ac:dyDescent="0.25">
      <c r="B13" s="35" t="s">
        <v>214</v>
      </c>
      <c r="J13" s="66"/>
      <c r="K13" s="66"/>
      <c r="L13" s="66"/>
      <c r="M13" s="66"/>
    </row>
    <row r="14" spans="1:22" s="38" customFormat="1" x14ac:dyDescent="0.25">
      <c r="A14" s="35"/>
      <c r="B14" s="35"/>
      <c r="C14" s="35"/>
      <c r="D14" s="35"/>
      <c r="E14" s="35"/>
      <c r="F14" s="35"/>
      <c r="G14" s="66"/>
      <c r="H14" s="66">
        <v>12</v>
      </c>
      <c r="I14" s="35"/>
      <c r="J14" s="66"/>
      <c r="K14" s="66"/>
      <c r="L14" s="66"/>
      <c r="M14" s="71"/>
      <c r="N14" s="35"/>
      <c r="O14" s="35"/>
      <c r="P14" s="35"/>
      <c r="Q14" s="35"/>
      <c r="R14" s="35"/>
      <c r="S14" s="35"/>
      <c r="T14" s="35"/>
      <c r="U14" s="35"/>
      <c r="V14" s="35"/>
    </row>
    <row r="15" spans="1:22" ht="45" x14ac:dyDescent="0.25">
      <c r="A15" s="38"/>
      <c r="B15" s="40" t="s">
        <v>1</v>
      </c>
      <c r="C15" s="40" t="s">
        <v>19</v>
      </c>
      <c r="D15" s="40" t="s">
        <v>20</v>
      </c>
      <c r="E15" s="65" t="s">
        <v>39</v>
      </c>
      <c r="F15" s="46" t="s">
        <v>21</v>
      </c>
      <c r="G15" s="45" t="s">
        <v>22</v>
      </c>
      <c r="H15" s="46" t="s">
        <v>23</v>
      </c>
      <c r="I15" s="35"/>
      <c r="J15" s="67"/>
      <c r="K15" s="72"/>
      <c r="N15" s="38"/>
      <c r="O15" s="38"/>
      <c r="P15" s="38"/>
      <c r="Q15" s="38"/>
      <c r="R15" s="38"/>
      <c r="S15" s="38"/>
      <c r="T15" s="38"/>
      <c r="U15" s="38"/>
      <c r="V15" s="38"/>
    </row>
    <row r="16" spans="1:22" x14ac:dyDescent="0.25">
      <c r="B16" s="48">
        <v>1</v>
      </c>
      <c r="C16" s="34" t="s">
        <v>44</v>
      </c>
      <c r="D16" s="28" t="s">
        <v>24</v>
      </c>
      <c r="E16" s="29"/>
      <c r="F16" s="68">
        <v>6</v>
      </c>
      <c r="G16" s="51">
        <f t="shared" ref="G16:G24" si="2">(E16*F16)</f>
        <v>0</v>
      </c>
      <c r="H16" s="51">
        <f t="shared" ref="H16:H24" si="3">(G16/$H$3)</f>
        <v>0</v>
      </c>
      <c r="I16" s="35"/>
      <c r="J16" s="67"/>
      <c r="N16" s="36"/>
    </row>
    <row r="17" spans="2:14" x14ac:dyDescent="0.25">
      <c r="B17" s="48">
        <v>2</v>
      </c>
      <c r="C17" s="73" t="s">
        <v>25</v>
      </c>
      <c r="D17" s="48" t="s">
        <v>20</v>
      </c>
      <c r="E17" s="29"/>
      <c r="F17" s="68">
        <v>2</v>
      </c>
      <c r="G17" s="51">
        <f t="shared" si="2"/>
        <v>0</v>
      </c>
      <c r="H17" s="51">
        <f t="shared" si="3"/>
        <v>0</v>
      </c>
      <c r="I17" s="35"/>
      <c r="J17" s="67"/>
      <c r="N17" s="36"/>
    </row>
    <row r="18" spans="2:14" x14ac:dyDescent="0.25">
      <c r="B18" s="48">
        <v>3</v>
      </c>
      <c r="C18" s="74" t="s">
        <v>48</v>
      </c>
      <c r="D18" s="48" t="s">
        <v>20</v>
      </c>
      <c r="E18" s="29"/>
      <c r="F18" s="68">
        <v>2</v>
      </c>
      <c r="G18" s="51">
        <f t="shared" si="2"/>
        <v>0</v>
      </c>
      <c r="H18" s="51">
        <f t="shared" si="3"/>
        <v>0</v>
      </c>
      <c r="I18" s="35"/>
      <c r="J18" s="67"/>
      <c r="N18" s="36"/>
    </row>
    <row r="19" spans="2:14" x14ac:dyDescent="0.25">
      <c r="B19" s="48">
        <v>4</v>
      </c>
      <c r="C19" s="73" t="s">
        <v>45</v>
      </c>
      <c r="D19" s="48" t="s">
        <v>24</v>
      </c>
      <c r="E19" s="29"/>
      <c r="F19" s="68">
        <v>4</v>
      </c>
      <c r="G19" s="51">
        <f t="shared" si="2"/>
        <v>0</v>
      </c>
      <c r="H19" s="51">
        <f t="shared" si="3"/>
        <v>0</v>
      </c>
      <c r="I19" s="35"/>
      <c r="J19" s="67"/>
      <c r="N19" s="36"/>
    </row>
    <row r="20" spans="2:14" x14ac:dyDescent="0.25">
      <c r="B20" s="48">
        <v>5</v>
      </c>
      <c r="C20" s="33" t="s">
        <v>46</v>
      </c>
      <c r="D20" s="48" t="s">
        <v>20</v>
      </c>
      <c r="E20" s="29"/>
      <c r="F20" s="68">
        <v>6</v>
      </c>
      <c r="G20" s="51">
        <f t="shared" si="2"/>
        <v>0</v>
      </c>
      <c r="H20" s="51">
        <f t="shared" si="3"/>
        <v>0</v>
      </c>
      <c r="I20" s="35"/>
      <c r="J20" s="71"/>
      <c r="K20" s="71"/>
      <c r="L20" s="71"/>
      <c r="N20" s="36"/>
    </row>
    <row r="21" spans="2:14" x14ac:dyDescent="0.25">
      <c r="B21" s="48">
        <v>6</v>
      </c>
      <c r="C21" s="73" t="s">
        <v>47</v>
      </c>
      <c r="D21" s="48" t="s">
        <v>20</v>
      </c>
      <c r="E21" s="29"/>
      <c r="F21" s="68">
        <v>2</v>
      </c>
      <c r="G21" s="51">
        <f t="shared" si="2"/>
        <v>0</v>
      </c>
      <c r="H21" s="51">
        <f t="shared" si="3"/>
        <v>0</v>
      </c>
      <c r="I21" s="35"/>
      <c r="J21" s="67"/>
      <c r="N21" s="36"/>
    </row>
    <row r="22" spans="2:14" x14ac:dyDescent="0.25">
      <c r="B22" s="48">
        <v>7</v>
      </c>
      <c r="C22" s="34" t="s">
        <v>43</v>
      </c>
      <c r="D22" s="48" t="s">
        <v>24</v>
      </c>
      <c r="E22" s="29"/>
      <c r="F22" s="68">
        <v>4</v>
      </c>
      <c r="G22" s="51">
        <f>(E22*F22)</f>
        <v>0</v>
      </c>
      <c r="H22" s="51">
        <f>(G22/$H$3)</f>
        <v>0</v>
      </c>
      <c r="I22" s="35"/>
      <c r="J22" s="71"/>
      <c r="K22" s="71"/>
      <c r="L22" s="71"/>
      <c r="N22" s="36"/>
    </row>
    <row r="23" spans="2:14" x14ac:dyDescent="0.25">
      <c r="B23" s="48">
        <v>8</v>
      </c>
      <c r="C23" s="73" t="s">
        <v>49</v>
      </c>
      <c r="D23" s="48" t="s">
        <v>20</v>
      </c>
      <c r="E23" s="29"/>
      <c r="F23" s="68">
        <v>4</v>
      </c>
      <c r="G23" s="51">
        <f t="shared" si="2"/>
        <v>0</v>
      </c>
      <c r="H23" s="51">
        <f t="shared" si="3"/>
        <v>0</v>
      </c>
      <c r="I23" s="35"/>
      <c r="J23" s="67"/>
      <c r="N23" s="36"/>
    </row>
    <row r="24" spans="2:14" ht="75" x14ac:dyDescent="0.25">
      <c r="B24" s="52">
        <v>9</v>
      </c>
      <c r="C24" s="74" t="s">
        <v>41</v>
      </c>
      <c r="D24" s="48" t="s">
        <v>20</v>
      </c>
      <c r="E24" s="190"/>
      <c r="F24" s="68">
        <v>1</v>
      </c>
      <c r="G24" s="51">
        <f t="shared" si="2"/>
        <v>0</v>
      </c>
      <c r="H24" s="51">
        <f t="shared" si="3"/>
        <v>0</v>
      </c>
      <c r="I24" s="35"/>
      <c r="J24" s="67"/>
      <c r="N24" s="36"/>
    </row>
    <row r="25" spans="2:14" ht="135" x14ac:dyDescent="0.25">
      <c r="B25" s="52">
        <v>10</v>
      </c>
      <c r="C25" s="74" t="s">
        <v>228</v>
      </c>
      <c r="D25" s="48" t="s">
        <v>20</v>
      </c>
      <c r="E25" s="29"/>
      <c r="F25" s="151">
        <f>6/10</f>
        <v>0.6</v>
      </c>
      <c r="G25" s="51">
        <f t="shared" ref="G25" si="4">(E25*F25)</f>
        <v>0</v>
      </c>
      <c r="H25" s="51">
        <f t="shared" ref="H25" si="5">(G25/$H$3)</f>
        <v>0</v>
      </c>
      <c r="I25" s="35"/>
      <c r="J25" s="67"/>
      <c r="N25" s="36"/>
    </row>
    <row r="26" spans="2:14" x14ac:dyDescent="0.25">
      <c r="B26" s="230" t="s">
        <v>26</v>
      </c>
      <c r="C26" s="231"/>
      <c r="D26" s="231"/>
      <c r="E26" s="231"/>
      <c r="F26" s="232"/>
      <c r="G26" s="39">
        <f>SUM(G16:G25)</f>
        <v>0</v>
      </c>
      <c r="H26" s="39">
        <f>SUM(H16:H25)</f>
        <v>0</v>
      </c>
      <c r="I26" s="35"/>
      <c r="J26" s="67"/>
      <c r="N26" s="36"/>
    </row>
    <row r="27" spans="2:14" x14ac:dyDescent="0.25">
      <c r="H27" s="66"/>
      <c r="I27" s="35"/>
    </row>
    <row r="28" spans="2:14" ht="15.75" thickBot="1" x14ac:dyDescent="0.3">
      <c r="K28" s="36"/>
      <c r="L28" s="36"/>
      <c r="M28" s="36"/>
      <c r="N28" s="36"/>
    </row>
    <row r="29" spans="2:14" s="82" customFormat="1" ht="16.5" thickBot="1" x14ac:dyDescent="0.3">
      <c r="B29" s="79" t="s">
        <v>38</v>
      </c>
      <c r="C29" s="80"/>
      <c r="D29" s="80"/>
      <c r="E29" s="80"/>
      <c r="F29" s="80"/>
      <c r="G29" s="80"/>
      <c r="H29" s="80"/>
      <c r="I29" s="80"/>
      <c r="J29" s="81"/>
    </row>
    <row r="31" spans="2:14" x14ac:dyDescent="0.25">
      <c r="B31" s="35" t="s">
        <v>54</v>
      </c>
      <c r="C31" s="35"/>
      <c r="D31" s="35"/>
      <c r="E31" s="35"/>
      <c r="H31" s="83">
        <v>12</v>
      </c>
    </row>
    <row r="32" spans="2:14" ht="60" x14ac:dyDescent="0.25">
      <c r="B32" s="40" t="s">
        <v>1</v>
      </c>
      <c r="C32" s="40" t="s">
        <v>19</v>
      </c>
      <c r="D32" s="40" t="s">
        <v>20</v>
      </c>
      <c r="E32" s="65" t="s">
        <v>39</v>
      </c>
      <c r="F32" s="46" t="s">
        <v>21</v>
      </c>
      <c r="G32" s="45" t="s">
        <v>22</v>
      </c>
      <c r="H32" s="46" t="s">
        <v>40</v>
      </c>
      <c r="I32" s="46" t="s">
        <v>23</v>
      </c>
    </row>
    <row r="33" spans="2:19" ht="45" x14ac:dyDescent="0.25">
      <c r="B33" s="47">
        <v>1</v>
      </c>
      <c r="C33" s="34" t="s">
        <v>55</v>
      </c>
      <c r="D33" s="28" t="s">
        <v>20</v>
      </c>
      <c r="E33" s="29"/>
      <c r="F33" s="30">
        <v>12</v>
      </c>
      <c r="G33" s="51">
        <f>E33*F33</f>
        <v>0</v>
      </c>
      <c r="H33" s="85">
        <f>(F33/$H$31)</f>
        <v>1</v>
      </c>
      <c r="I33" s="85">
        <f>E33*H33</f>
        <v>0</v>
      </c>
      <c r="J33" s="67"/>
      <c r="M33" s="36"/>
      <c r="N33" s="36"/>
    </row>
    <row r="34" spans="2:19" x14ac:dyDescent="0.25">
      <c r="B34" s="48">
        <v>2</v>
      </c>
      <c r="C34" s="145" t="s">
        <v>56</v>
      </c>
      <c r="D34" s="48" t="s">
        <v>20</v>
      </c>
      <c r="E34" s="29"/>
      <c r="F34" s="30">
        <v>12</v>
      </c>
      <c r="G34" s="51">
        <f t="shared" ref="G34:G56" si="6">E34*F34</f>
        <v>0</v>
      </c>
      <c r="H34" s="85">
        <f t="shared" ref="H34:H56" si="7">(F34/$H$31)</f>
        <v>1</v>
      </c>
      <c r="I34" s="85">
        <f t="shared" ref="I34:I56" si="8">E34*H34</f>
        <v>0</v>
      </c>
      <c r="K34" s="36"/>
      <c r="L34" s="36"/>
      <c r="M34" s="36"/>
      <c r="N34" s="36"/>
    </row>
    <row r="35" spans="2:19" x14ac:dyDescent="0.25">
      <c r="B35" s="47">
        <v>3</v>
      </c>
      <c r="C35" s="86" t="s">
        <v>57</v>
      </c>
      <c r="D35" s="28" t="s">
        <v>58</v>
      </c>
      <c r="E35" s="29"/>
      <c r="F35" s="30">
        <v>12</v>
      </c>
      <c r="G35" s="51">
        <f t="shared" si="6"/>
        <v>0</v>
      </c>
      <c r="H35" s="85">
        <f t="shared" si="7"/>
        <v>1</v>
      </c>
      <c r="I35" s="85">
        <f t="shared" si="8"/>
        <v>0</v>
      </c>
      <c r="J35" s="67"/>
      <c r="M35" s="36"/>
      <c r="N35" s="36"/>
    </row>
    <row r="36" spans="2:19" s="35" customFormat="1" ht="60" x14ac:dyDescent="0.25">
      <c r="B36" s="48">
        <v>4</v>
      </c>
      <c r="C36" s="145" t="s">
        <v>59</v>
      </c>
      <c r="D36" s="28" t="s">
        <v>20</v>
      </c>
      <c r="E36" s="29"/>
      <c r="F36" s="30">
        <v>12</v>
      </c>
      <c r="G36" s="51">
        <f t="shared" si="6"/>
        <v>0</v>
      </c>
      <c r="H36" s="85">
        <f t="shared" si="7"/>
        <v>1</v>
      </c>
      <c r="I36" s="85">
        <f t="shared" si="8"/>
        <v>0</v>
      </c>
      <c r="J36" s="36"/>
      <c r="K36" s="36"/>
      <c r="L36" s="36"/>
      <c r="M36" s="36"/>
      <c r="N36" s="36"/>
      <c r="O36" s="36"/>
      <c r="P36" s="36"/>
      <c r="Q36" s="36"/>
      <c r="R36" s="36"/>
      <c r="S36" s="36"/>
    </row>
    <row r="37" spans="2:19" ht="45" x14ac:dyDescent="0.25">
      <c r="B37" s="47">
        <v>5</v>
      </c>
      <c r="C37" s="87" t="s">
        <v>60</v>
      </c>
      <c r="D37" s="28" t="s">
        <v>20</v>
      </c>
      <c r="E37" s="29"/>
      <c r="F37" s="30">
        <v>12</v>
      </c>
      <c r="G37" s="51">
        <f t="shared" si="6"/>
        <v>0</v>
      </c>
      <c r="H37" s="85">
        <f t="shared" si="7"/>
        <v>1</v>
      </c>
      <c r="I37" s="85">
        <f t="shared" si="8"/>
        <v>0</v>
      </c>
      <c r="J37" s="67"/>
      <c r="M37" s="36"/>
      <c r="N37" s="36"/>
    </row>
    <row r="38" spans="2:19" ht="75" x14ac:dyDescent="0.25">
      <c r="B38" s="48">
        <v>6</v>
      </c>
      <c r="C38" s="86" t="s">
        <v>61</v>
      </c>
      <c r="D38" s="28" t="s">
        <v>20</v>
      </c>
      <c r="E38" s="29"/>
      <c r="F38" s="30">
        <v>12</v>
      </c>
      <c r="G38" s="51">
        <f t="shared" si="6"/>
        <v>0</v>
      </c>
      <c r="H38" s="85">
        <f t="shared" si="7"/>
        <v>1</v>
      </c>
      <c r="I38" s="85">
        <f t="shared" si="8"/>
        <v>0</v>
      </c>
      <c r="J38" s="67"/>
      <c r="M38" s="36"/>
      <c r="N38" s="36"/>
    </row>
    <row r="39" spans="2:19" ht="45" x14ac:dyDescent="0.25">
      <c r="B39" s="47">
        <v>7</v>
      </c>
      <c r="C39" s="86" t="s">
        <v>62</v>
      </c>
      <c r="D39" s="28" t="s">
        <v>20</v>
      </c>
      <c r="E39" s="29"/>
      <c r="F39" s="30">
        <v>12</v>
      </c>
      <c r="G39" s="51">
        <f t="shared" si="6"/>
        <v>0</v>
      </c>
      <c r="H39" s="85">
        <f t="shared" si="7"/>
        <v>1</v>
      </c>
      <c r="I39" s="85">
        <f t="shared" si="8"/>
        <v>0</v>
      </c>
      <c r="J39" s="67"/>
      <c r="M39" s="36"/>
      <c r="N39" s="36"/>
    </row>
    <row r="40" spans="2:19" ht="75" x14ac:dyDescent="0.25">
      <c r="B40" s="48">
        <v>8</v>
      </c>
      <c r="C40" s="33" t="s">
        <v>63</v>
      </c>
      <c r="D40" s="28" t="s">
        <v>20</v>
      </c>
      <c r="E40" s="29"/>
      <c r="F40" s="30">
        <v>12</v>
      </c>
      <c r="G40" s="51">
        <f t="shared" si="6"/>
        <v>0</v>
      </c>
      <c r="H40" s="85">
        <f t="shared" si="7"/>
        <v>1</v>
      </c>
      <c r="I40" s="85">
        <f t="shared" si="8"/>
        <v>0</v>
      </c>
      <c r="J40" s="67"/>
      <c r="M40" s="36"/>
      <c r="N40" s="36"/>
    </row>
    <row r="41" spans="2:19" ht="75" x14ac:dyDescent="0.25">
      <c r="B41" s="47">
        <v>9</v>
      </c>
      <c r="C41" s="33" t="s">
        <v>64</v>
      </c>
      <c r="D41" s="28" t="s">
        <v>20</v>
      </c>
      <c r="E41" s="29"/>
      <c r="F41" s="30">
        <v>12</v>
      </c>
      <c r="G41" s="51">
        <f t="shared" si="6"/>
        <v>0</v>
      </c>
      <c r="H41" s="85">
        <f t="shared" si="7"/>
        <v>1</v>
      </c>
      <c r="I41" s="85">
        <f t="shared" si="8"/>
        <v>0</v>
      </c>
      <c r="J41" s="67"/>
      <c r="M41" s="36"/>
      <c r="N41" s="36"/>
    </row>
    <row r="42" spans="2:19" ht="120" x14ac:dyDescent="0.25">
      <c r="B42" s="48">
        <v>10</v>
      </c>
      <c r="C42" s="88" t="s">
        <v>65</v>
      </c>
      <c r="D42" s="28" t="s">
        <v>20</v>
      </c>
      <c r="E42" s="29"/>
      <c r="F42" s="30">
        <v>24</v>
      </c>
      <c r="G42" s="51">
        <f t="shared" si="6"/>
        <v>0</v>
      </c>
      <c r="H42" s="85">
        <f t="shared" si="7"/>
        <v>2</v>
      </c>
      <c r="I42" s="85">
        <f t="shared" si="8"/>
        <v>0</v>
      </c>
      <c r="J42" s="67"/>
      <c r="M42" s="72"/>
      <c r="N42" s="36"/>
    </row>
    <row r="43" spans="2:19" ht="60" x14ac:dyDescent="0.25">
      <c r="B43" s="47">
        <v>11</v>
      </c>
      <c r="C43" s="34" t="s">
        <v>66</v>
      </c>
      <c r="D43" s="28" t="s">
        <v>20</v>
      </c>
      <c r="E43" s="29"/>
      <c r="F43" s="30">
        <v>12</v>
      </c>
      <c r="G43" s="51">
        <f t="shared" si="6"/>
        <v>0</v>
      </c>
      <c r="H43" s="85">
        <f t="shared" si="7"/>
        <v>1</v>
      </c>
      <c r="I43" s="85">
        <f t="shared" si="8"/>
        <v>0</v>
      </c>
      <c r="J43" s="67"/>
      <c r="M43" s="36"/>
      <c r="N43" s="36"/>
    </row>
    <row r="44" spans="2:19" ht="45" x14ac:dyDescent="0.25">
      <c r="B44" s="48">
        <v>12</v>
      </c>
      <c r="C44" s="33" t="s">
        <v>67</v>
      </c>
      <c r="D44" s="28" t="s">
        <v>68</v>
      </c>
      <c r="E44" s="29"/>
      <c r="F44" s="30">
        <f>50*10</f>
        <v>500</v>
      </c>
      <c r="G44" s="51">
        <f t="shared" si="6"/>
        <v>0</v>
      </c>
      <c r="H44" s="85">
        <f t="shared" si="7"/>
        <v>41.666666666666664</v>
      </c>
      <c r="I44" s="85">
        <f t="shared" si="8"/>
        <v>0</v>
      </c>
      <c r="J44" s="67"/>
      <c r="M44" s="36"/>
      <c r="N44" s="36"/>
    </row>
    <row r="45" spans="2:19" ht="45" x14ac:dyDescent="0.25">
      <c r="B45" s="47">
        <v>13</v>
      </c>
      <c r="C45" s="33" t="s">
        <v>69</v>
      </c>
      <c r="D45" s="28" t="s">
        <v>20</v>
      </c>
      <c r="E45" s="29"/>
      <c r="F45" s="30">
        <v>12</v>
      </c>
      <c r="G45" s="51">
        <f t="shared" si="6"/>
        <v>0</v>
      </c>
      <c r="H45" s="85">
        <f t="shared" si="7"/>
        <v>1</v>
      </c>
      <c r="I45" s="85">
        <f t="shared" si="8"/>
        <v>0</v>
      </c>
      <c r="J45" s="67"/>
      <c r="M45" s="36"/>
      <c r="N45" s="36"/>
    </row>
    <row r="46" spans="2:19" ht="60" x14ac:dyDescent="0.25">
      <c r="B46" s="48">
        <v>14</v>
      </c>
      <c r="C46" s="34" t="s">
        <v>70</v>
      </c>
      <c r="D46" s="28" t="s">
        <v>20</v>
      </c>
      <c r="E46" s="29"/>
      <c r="F46" s="30">
        <v>12</v>
      </c>
      <c r="G46" s="51">
        <f t="shared" si="6"/>
        <v>0</v>
      </c>
      <c r="H46" s="85">
        <f t="shared" si="7"/>
        <v>1</v>
      </c>
      <c r="I46" s="85">
        <f t="shared" si="8"/>
        <v>0</v>
      </c>
      <c r="J46" s="67"/>
      <c r="M46" s="36"/>
      <c r="N46" s="36"/>
    </row>
    <row r="47" spans="2:19" ht="30" x14ac:dyDescent="0.25">
      <c r="B47" s="47">
        <v>15</v>
      </c>
      <c r="C47" s="89" t="s">
        <v>71</v>
      </c>
      <c r="D47" s="28" t="s">
        <v>72</v>
      </c>
      <c r="E47" s="29"/>
      <c r="F47" s="30">
        <v>12</v>
      </c>
      <c r="G47" s="51">
        <f t="shared" si="6"/>
        <v>0</v>
      </c>
      <c r="H47" s="85">
        <f t="shared" si="7"/>
        <v>1</v>
      </c>
      <c r="I47" s="85">
        <f t="shared" si="8"/>
        <v>0</v>
      </c>
      <c r="J47" s="67"/>
      <c r="M47" s="36"/>
      <c r="N47" s="36"/>
    </row>
    <row r="48" spans="2:19" s="35" customFormat="1" ht="45" x14ac:dyDescent="0.25">
      <c r="B48" s="48">
        <v>16</v>
      </c>
      <c r="C48" s="145" t="s">
        <v>73</v>
      </c>
      <c r="D48" s="28" t="s">
        <v>24</v>
      </c>
      <c r="E48" s="29"/>
      <c r="F48" s="30">
        <v>12</v>
      </c>
      <c r="G48" s="51">
        <f t="shared" si="6"/>
        <v>0</v>
      </c>
      <c r="H48" s="85">
        <f t="shared" si="7"/>
        <v>1</v>
      </c>
      <c r="I48" s="85">
        <f t="shared" si="8"/>
        <v>0</v>
      </c>
      <c r="J48" s="36"/>
      <c r="K48" s="36"/>
      <c r="L48" s="36"/>
      <c r="M48" s="36"/>
      <c r="N48" s="70" t="s">
        <v>74</v>
      </c>
      <c r="O48" s="36"/>
      <c r="P48" s="36"/>
      <c r="Q48" s="36"/>
      <c r="R48" s="36"/>
      <c r="S48" s="36"/>
    </row>
    <row r="49" spans="1:23" ht="135" x14ac:dyDescent="0.25">
      <c r="B49" s="47">
        <v>17</v>
      </c>
      <c r="C49" s="53" t="s">
        <v>75</v>
      </c>
      <c r="D49" s="28" t="s">
        <v>20</v>
      </c>
      <c r="E49" s="29"/>
      <c r="F49" s="30">
        <v>10</v>
      </c>
      <c r="G49" s="51">
        <f t="shared" si="6"/>
        <v>0</v>
      </c>
      <c r="H49" s="85">
        <f t="shared" si="7"/>
        <v>0.83333333333333337</v>
      </c>
      <c r="I49" s="85">
        <f t="shared" si="8"/>
        <v>0</v>
      </c>
      <c r="J49" s="67"/>
      <c r="M49" s="36"/>
      <c r="N49" s="36"/>
      <c r="Q49" s="72"/>
    </row>
    <row r="50" spans="1:23" ht="30" x14ac:dyDescent="0.25">
      <c r="B50" s="48">
        <v>18</v>
      </c>
      <c r="C50" s="33" t="s">
        <v>76</v>
      </c>
      <c r="D50" s="28" t="s">
        <v>20</v>
      </c>
      <c r="E50" s="29"/>
      <c r="F50" s="30">
        <v>20</v>
      </c>
      <c r="G50" s="51">
        <f t="shared" si="6"/>
        <v>0</v>
      </c>
      <c r="H50" s="85">
        <f t="shared" si="7"/>
        <v>1.6666666666666667</v>
      </c>
      <c r="I50" s="85">
        <f t="shared" si="8"/>
        <v>0</v>
      </c>
      <c r="J50" s="67"/>
      <c r="M50" s="36"/>
      <c r="N50" s="36"/>
    </row>
    <row r="51" spans="1:23" x14ac:dyDescent="0.25">
      <c r="B51" s="47">
        <v>19</v>
      </c>
      <c r="C51" s="145" t="s">
        <v>77</v>
      </c>
      <c r="D51" s="28" t="s">
        <v>20</v>
      </c>
      <c r="E51" s="29"/>
      <c r="F51" s="30">
        <v>6</v>
      </c>
      <c r="G51" s="51">
        <f t="shared" si="6"/>
        <v>0</v>
      </c>
      <c r="H51" s="85">
        <f t="shared" si="7"/>
        <v>0.5</v>
      </c>
      <c r="I51" s="85">
        <f t="shared" si="8"/>
        <v>0</v>
      </c>
      <c r="J51" s="67"/>
      <c r="M51" s="36"/>
      <c r="N51" s="36"/>
    </row>
    <row r="52" spans="1:23" ht="45" x14ac:dyDescent="0.25">
      <c r="B52" s="48">
        <v>20</v>
      </c>
      <c r="C52" s="145" t="s">
        <v>78</v>
      </c>
      <c r="D52" s="28" t="s">
        <v>20</v>
      </c>
      <c r="E52" s="29"/>
      <c r="F52" s="30">
        <v>6</v>
      </c>
      <c r="G52" s="51">
        <f t="shared" si="6"/>
        <v>0</v>
      </c>
      <c r="H52" s="85">
        <f t="shared" si="7"/>
        <v>0.5</v>
      </c>
      <c r="I52" s="85">
        <f t="shared" si="8"/>
        <v>0</v>
      </c>
      <c r="J52" s="67"/>
      <c r="M52" s="36"/>
      <c r="N52" s="36"/>
    </row>
    <row r="53" spans="1:23" ht="45" x14ac:dyDescent="0.25">
      <c r="B53" s="47">
        <v>21</v>
      </c>
      <c r="C53" s="145" t="s">
        <v>79</v>
      </c>
      <c r="D53" s="28" t="s">
        <v>20</v>
      </c>
      <c r="E53" s="29"/>
      <c r="F53" s="30">
        <v>3</v>
      </c>
      <c r="G53" s="51">
        <f t="shared" si="6"/>
        <v>0</v>
      </c>
      <c r="H53" s="85">
        <f t="shared" si="7"/>
        <v>0.25</v>
      </c>
      <c r="I53" s="85">
        <f t="shared" si="8"/>
        <v>0</v>
      </c>
      <c r="J53" s="67"/>
      <c r="M53" s="36"/>
      <c r="N53" s="36"/>
    </row>
    <row r="54" spans="1:23" x14ac:dyDescent="0.25">
      <c r="B54" s="48">
        <v>22</v>
      </c>
      <c r="C54" s="33" t="s">
        <v>80</v>
      </c>
      <c r="D54" s="28" t="s">
        <v>20</v>
      </c>
      <c r="E54" s="29"/>
      <c r="F54" s="30">
        <v>10</v>
      </c>
      <c r="G54" s="51">
        <f t="shared" si="6"/>
        <v>0</v>
      </c>
      <c r="H54" s="85">
        <f t="shared" si="7"/>
        <v>0.83333333333333337</v>
      </c>
      <c r="I54" s="85">
        <f t="shared" si="8"/>
        <v>0</v>
      </c>
      <c r="J54" s="67"/>
      <c r="M54" s="36"/>
      <c r="N54" s="36"/>
    </row>
    <row r="55" spans="1:23" ht="60" x14ac:dyDescent="0.25">
      <c r="B55" s="47">
        <v>23</v>
      </c>
      <c r="C55" s="33" t="s">
        <v>85</v>
      </c>
      <c r="D55" s="28" t="s">
        <v>20</v>
      </c>
      <c r="E55" s="29"/>
      <c r="F55" s="30">
        <v>1</v>
      </c>
      <c r="G55" s="51">
        <f t="shared" si="6"/>
        <v>0</v>
      </c>
      <c r="H55" s="85">
        <f t="shared" si="7"/>
        <v>8.3333333333333329E-2</v>
      </c>
      <c r="I55" s="85">
        <f t="shared" si="8"/>
        <v>0</v>
      </c>
      <c r="J55" s="67"/>
      <c r="M55" s="36"/>
      <c r="N55" s="36"/>
    </row>
    <row r="56" spans="1:23" ht="45" x14ac:dyDescent="0.25">
      <c r="B56" s="48">
        <v>24</v>
      </c>
      <c r="C56" s="86" t="s">
        <v>81</v>
      </c>
      <c r="D56" s="28" t="s">
        <v>20</v>
      </c>
      <c r="E56" s="29"/>
      <c r="F56" s="30">
        <v>24</v>
      </c>
      <c r="G56" s="51">
        <f t="shared" si="6"/>
        <v>0</v>
      </c>
      <c r="H56" s="85">
        <f t="shared" si="7"/>
        <v>2</v>
      </c>
      <c r="I56" s="85">
        <f t="shared" si="8"/>
        <v>0</v>
      </c>
      <c r="J56" s="67"/>
      <c r="M56" s="36"/>
      <c r="N56" s="36"/>
    </row>
    <row r="57" spans="1:23" x14ac:dyDescent="0.25">
      <c r="B57" s="90"/>
      <c r="C57" s="91" t="s">
        <v>26</v>
      </c>
      <c r="D57" s="91"/>
      <c r="E57" s="92"/>
      <c r="F57" s="93"/>
      <c r="G57" s="37">
        <f>SUM(G33:G56)</f>
        <v>0</v>
      </c>
      <c r="H57" s="97"/>
      <c r="I57" s="37">
        <f>SUM(I33:I56)</f>
        <v>0</v>
      </c>
    </row>
    <row r="58" spans="1:23" x14ac:dyDescent="0.25">
      <c r="A58" s="32"/>
      <c r="B58" s="94"/>
      <c r="C58" s="95"/>
      <c r="D58" s="96"/>
      <c r="E58" s="96"/>
      <c r="F58" s="96"/>
      <c r="G58" s="96"/>
      <c r="H58" s="97"/>
      <c r="I58" s="84"/>
      <c r="O58" s="32"/>
      <c r="P58" s="32"/>
      <c r="Q58" s="32"/>
      <c r="R58" s="32"/>
      <c r="S58" s="32"/>
      <c r="T58" s="32"/>
      <c r="U58" s="32"/>
      <c r="V58" s="32"/>
      <c r="W58" s="32"/>
    </row>
    <row r="59" spans="1:23" x14ac:dyDescent="0.25">
      <c r="N59" s="36"/>
    </row>
    <row r="60" spans="1:23" x14ac:dyDescent="0.25">
      <c r="N60" s="36"/>
    </row>
    <row r="64" spans="1:23" x14ac:dyDescent="0.25">
      <c r="F64" s="176"/>
    </row>
  </sheetData>
  <mergeCells count="2">
    <mergeCell ref="B11:F11"/>
    <mergeCell ref="B26:F26"/>
  </mergeCells>
  <pageMargins left="0.511811024" right="0.511811024" top="0.78740157499999996" bottom="0.78740157499999996" header="0.31496062000000002" footer="0.31496062000000002"/>
  <pageSetup paperSize="9" orientation="portrait" horizontalDpi="4294967294"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8"/>
  <sheetViews>
    <sheetView showGridLines="0" zoomScale="85" zoomScaleNormal="85" workbookViewId="0">
      <selection activeCell="J15" sqref="J15"/>
    </sheetView>
  </sheetViews>
  <sheetFormatPr defaultRowHeight="15" x14ac:dyDescent="0.25"/>
  <cols>
    <col min="1" max="1" width="2" style="36" customWidth="1"/>
    <col min="2" max="2" width="7.42578125" style="36" customWidth="1"/>
    <col min="3" max="3" width="71.28515625" style="36" customWidth="1"/>
    <col min="4" max="4" width="13.42578125" style="36" customWidth="1"/>
    <col min="5" max="6" width="13.5703125" style="36" bestFit="1" customWidth="1"/>
    <col min="7" max="7" width="13.85546875" style="36" bestFit="1" customWidth="1"/>
    <col min="8" max="8" width="15" style="36" customWidth="1"/>
    <col min="9" max="9" width="9.5703125" style="36" bestFit="1" customWidth="1"/>
    <col min="10" max="10" width="12" style="36" bestFit="1" customWidth="1"/>
    <col min="11" max="11" width="13.42578125" style="67" customWidth="1"/>
    <col min="12" max="12" width="17.28515625" style="67" customWidth="1"/>
    <col min="13" max="13" width="23.5703125" style="67" customWidth="1"/>
    <col min="14" max="14" width="11" style="67" customWidth="1"/>
    <col min="15" max="15" width="12.85546875" style="36" customWidth="1"/>
    <col min="16" max="16384" width="9.140625" style="36"/>
  </cols>
  <sheetData>
    <row r="2" spans="1:22" s="35" customFormat="1" x14ac:dyDescent="0.25">
      <c r="B2" s="35" t="s">
        <v>231</v>
      </c>
      <c r="K2" s="66"/>
      <c r="L2" s="66"/>
      <c r="M2" s="66"/>
      <c r="N2" s="66"/>
    </row>
    <row r="3" spans="1:22" s="35" customFormat="1" x14ac:dyDescent="0.25">
      <c r="G3" s="66"/>
      <c r="H3" s="66">
        <v>12</v>
      </c>
      <c r="J3" s="66"/>
      <c r="K3" s="66"/>
      <c r="L3" s="66"/>
      <c r="M3" s="66"/>
    </row>
    <row r="4" spans="1:22" s="38" customFormat="1" ht="45" x14ac:dyDescent="0.25">
      <c r="B4" s="40" t="s">
        <v>1</v>
      </c>
      <c r="C4" s="40" t="s">
        <v>19</v>
      </c>
      <c r="D4" s="40" t="s">
        <v>20</v>
      </c>
      <c r="E4" s="65" t="s">
        <v>39</v>
      </c>
      <c r="F4" s="46" t="s">
        <v>21</v>
      </c>
      <c r="G4" s="45" t="s">
        <v>22</v>
      </c>
      <c r="H4" s="46" t="s">
        <v>23</v>
      </c>
      <c r="I4" s="35"/>
      <c r="J4" s="67"/>
      <c r="K4" s="67"/>
      <c r="L4" s="67"/>
      <c r="M4" s="66"/>
    </row>
    <row r="5" spans="1:22" ht="30" x14ac:dyDescent="0.25">
      <c r="B5" s="48">
        <v>1</v>
      </c>
      <c r="C5" s="33" t="s">
        <v>82</v>
      </c>
      <c r="D5" s="28" t="s">
        <v>20</v>
      </c>
      <c r="E5" s="29"/>
      <c r="F5" s="68">
        <v>4</v>
      </c>
      <c r="G5" s="51">
        <f>(E5*F5)</f>
        <v>0</v>
      </c>
      <c r="H5" s="51">
        <f>(G5/$H$3)</f>
        <v>0</v>
      </c>
      <c r="I5" s="35"/>
      <c r="J5" s="67"/>
      <c r="N5" s="36"/>
      <c r="O5" s="69"/>
    </row>
    <row r="6" spans="1:22" ht="45" x14ac:dyDescent="0.25">
      <c r="B6" s="28">
        <v>2</v>
      </c>
      <c r="C6" s="33" t="s">
        <v>86</v>
      </c>
      <c r="D6" s="28" t="s">
        <v>20</v>
      </c>
      <c r="E6" s="29"/>
      <c r="F6" s="68">
        <v>4</v>
      </c>
      <c r="G6" s="51">
        <f t="shared" ref="G6:G10" si="0">(E6*F6)</f>
        <v>0</v>
      </c>
      <c r="H6" s="51">
        <f t="shared" ref="H6:H10" si="1">(G6/$H$3)</f>
        <v>0</v>
      </c>
      <c r="I6" s="35"/>
      <c r="J6" s="67"/>
      <c r="N6" s="36"/>
    </row>
    <row r="7" spans="1:22" x14ac:dyDescent="0.25">
      <c r="B7" s="28">
        <v>3</v>
      </c>
      <c r="C7" s="33" t="s">
        <v>83</v>
      </c>
      <c r="D7" s="28" t="s">
        <v>20</v>
      </c>
      <c r="E7" s="29"/>
      <c r="F7" s="68">
        <v>4</v>
      </c>
      <c r="G7" s="51">
        <f t="shared" si="0"/>
        <v>0</v>
      </c>
      <c r="H7" s="51">
        <f t="shared" si="1"/>
        <v>0</v>
      </c>
      <c r="I7" s="35"/>
      <c r="J7" s="67"/>
      <c r="N7" s="36"/>
    </row>
    <row r="8" spans="1:22" x14ac:dyDescent="0.25">
      <c r="B8" s="48">
        <v>4</v>
      </c>
      <c r="C8" s="33" t="s">
        <v>42</v>
      </c>
      <c r="D8" s="28" t="s">
        <v>24</v>
      </c>
      <c r="E8" s="29"/>
      <c r="F8" s="68">
        <v>4</v>
      </c>
      <c r="G8" s="51">
        <f t="shared" si="0"/>
        <v>0</v>
      </c>
      <c r="H8" s="51">
        <f t="shared" si="1"/>
        <v>0</v>
      </c>
      <c r="I8" s="35"/>
      <c r="J8" s="70"/>
      <c r="K8" s="71"/>
      <c r="L8" s="71"/>
      <c r="N8" s="36"/>
    </row>
    <row r="9" spans="1:22" ht="30" x14ac:dyDescent="0.25">
      <c r="B9" s="28">
        <v>5</v>
      </c>
      <c r="C9" s="34" t="s">
        <v>84</v>
      </c>
      <c r="D9" s="28" t="s">
        <v>24</v>
      </c>
      <c r="E9" s="29"/>
      <c r="F9" s="68">
        <v>2</v>
      </c>
      <c r="G9" s="51">
        <f t="shared" si="0"/>
        <v>0</v>
      </c>
      <c r="H9" s="51">
        <f t="shared" si="1"/>
        <v>0</v>
      </c>
      <c r="I9" s="35"/>
      <c r="J9" s="67"/>
      <c r="N9" s="36"/>
    </row>
    <row r="10" spans="1:22" x14ac:dyDescent="0.25">
      <c r="B10" s="28">
        <v>6</v>
      </c>
      <c r="C10" s="34" t="s">
        <v>27</v>
      </c>
      <c r="D10" s="28" t="s">
        <v>20</v>
      </c>
      <c r="E10" s="29"/>
      <c r="F10" s="68">
        <v>1</v>
      </c>
      <c r="G10" s="51">
        <f t="shared" si="0"/>
        <v>0</v>
      </c>
      <c r="H10" s="51">
        <f t="shared" si="1"/>
        <v>0</v>
      </c>
      <c r="I10" s="35"/>
      <c r="J10" s="67"/>
      <c r="N10" s="36"/>
    </row>
    <row r="11" spans="1:22" x14ac:dyDescent="0.25">
      <c r="B11" s="230" t="s">
        <v>26</v>
      </c>
      <c r="C11" s="231"/>
      <c r="D11" s="231"/>
      <c r="E11" s="231"/>
      <c r="F11" s="232"/>
      <c r="G11" s="39">
        <f>SUM(G5:G10)</f>
        <v>0</v>
      </c>
      <c r="H11" s="37">
        <f>SUM(H5:H10)</f>
        <v>0</v>
      </c>
      <c r="I11" s="35"/>
      <c r="J11" s="67"/>
      <c r="N11" s="36"/>
    </row>
    <row r="13" spans="1:22" s="35" customFormat="1" x14ac:dyDescent="0.25">
      <c r="B13" s="35" t="s">
        <v>232</v>
      </c>
      <c r="J13" s="66"/>
      <c r="K13" s="66"/>
      <c r="L13" s="66"/>
      <c r="M13" s="66"/>
    </row>
    <row r="14" spans="1:22" s="38" customFormat="1" x14ac:dyDescent="0.25">
      <c r="A14" s="35"/>
      <c r="B14" s="35"/>
      <c r="C14" s="35"/>
      <c r="D14" s="35"/>
      <c r="E14" s="35"/>
      <c r="F14" s="35"/>
      <c r="G14" s="66"/>
      <c r="H14" s="66">
        <v>12</v>
      </c>
      <c r="I14" s="35"/>
      <c r="J14" s="66"/>
      <c r="K14" s="66"/>
      <c r="L14" s="66"/>
      <c r="M14" s="71"/>
      <c r="N14" s="35"/>
      <c r="O14" s="35"/>
      <c r="P14" s="35"/>
      <c r="Q14" s="35"/>
      <c r="R14" s="35"/>
      <c r="S14" s="35"/>
      <c r="T14" s="35"/>
      <c r="U14" s="35"/>
      <c r="V14" s="35"/>
    </row>
    <row r="15" spans="1:22" ht="45" x14ac:dyDescent="0.25">
      <c r="A15" s="38"/>
      <c r="B15" s="40" t="s">
        <v>1</v>
      </c>
      <c r="C15" s="40" t="s">
        <v>19</v>
      </c>
      <c r="D15" s="40" t="s">
        <v>20</v>
      </c>
      <c r="E15" s="65" t="s">
        <v>39</v>
      </c>
      <c r="F15" s="46" t="s">
        <v>21</v>
      </c>
      <c r="G15" s="45" t="s">
        <v>22</v>
      </c>
      <c r="H15" s="46" t="s">
        <v>23</v>
      </c>
      <c r="I15" s="35"/>
      <c r="J15" s="67"/>
      <c r="K15" s="72"/>
      <c r="N15" s="38"/>
      <c r="O15" s="38"/>
      <c r="P15" s="38"/>
      <c r="Q15" s="38"/>
      <c r="R15" s="38"/>
      <c r="S15" s="38"/>
      <c r="T15" s="38"/>
      <c r="U15" s="38"/>
      <c r="V15" s="38"/>
    </row>
    <row r="16" spans="1:22" x14ac:dyDescent="0.25">
      <c r="B16" s="48">
        <v>1</v>
      </c>
      <c r="C16" s="34" t="s">
        <v>44</v>
      </c>
      <c r="D16" s="28" t="s">
        <v>24</v>
      </c>
      <c r="E16" s="29"/>
      <c r="F16" s="68">
        <v>6</v>
      </c>
      <c r="G16" s="51">
        <f t="shared" ref="G16:G24" si="2">(E16*F16)</f>
        <v>0</v>
      </c>
      <c r="H16" s="51">
        <f t="shared" ref="H16:H24" si="3">(G16/$H$3)</f>
        <v>0</v>
      </c>
      <c r="I16" s="35"/>
      <c r="J16" s="67"/>
      <c r="N16" s="36"/>
    </row>
    <row r="17" spans="2:14" x14ac:dyDescent="0.25">
      <c r="B17" s="48">
        <v>2</v>
      </c>
      <c r="C17" s="73" t="s">
        <v>25</v>
      </c>
      <c r="D17" s="48" t="s">
        <v>20</v>
      </c>
      <c r="E17" s="29"/>
      <c r="F17" s="68">
        <v>2</v>
      </c>
      <c r="G17" s="51">
        <f t="shared" si="2"/>
        <v>0</v>
      </c>
      <c r="H17" s="51">
        <f t="shared" si="3"/>
        <v>0</v>
      </c>
      <c r="I17" s="35"/>
      <c r="J17" s="67"/>
      <c r="N17" s="36"/>
    </row>
    <row r="18" spans="2:14" x14ac:dyDescent="0.25">
      <c r="B18" s="48">
        <v>3</v>
      </c>
      <c r="C18" s="74" t="s">
        <v>48</v>
      </c>
      <c r="D18" s="48" t="s">
        <v>20</v>
      </c>
      <c r="E18" s="29"/>
      <c r="F18" s="68">
        <v>2</v>
      </c>
      <c r="G18" s="51">
        <f t="shared" si="2"/>
        <v>0</v>
      </c>
      <c r="H18" s="51">
        <f t="shared" si="3"/>
        <v>0</v>
      </c>
      <c r="I18" s="35"/>
      <c r="J18" s="67"/>
      <c r="N18" s="36"/>
    </row>
    <row r="19" spans="2:14" x14ac:dyDescent="0.25">
      <c r="B19" s="48">
        <v>4</v>
      </c>
      <c r="C19" s="73" t="s">
        <v>45</v>
      </c>
      <c r="D19" s="48" t="s">
        <v>24</v>
      </c>
      <c r="E19" s="29"/>
      <c r="F19" s="68">
        <v>4</v>
      </c>
      <c r="G19" s="51">
        <f t="shared" si="2"/>
        <v>0</v>
      </c>
      <c r="H19" s="51">
        <f t="shared" si="3"/>
        <v>0</v>
      </c>
      <c r="I19" s="35"/>
      <c r="J19" s="67"/>
      <c r="N19" s="36"/>
    </row>
    <row r="20" spans="2:14" x14ac:dyDescent="0.25">
      <c r="B20" s="48">
        <v>5</v>
      </c>
      <c r="C20" s="33" t="s">
        <v>46</v>
      </c>
      <c r="D20" s="48" t="s">
        <v>20</v>
      </c>
      <c r="E20" s="29"/>
      <c r="F20" s="68">
        <v>6</v>
      </c>
      <c r="G20" s="51">
        <f t="shared" si="2"/>
        <v>0</v>
      </c>
      <c r="H20" s="51">
        <f t="shared" si="3"/>
        <v>0</v>
      </c>
      <c r="I20" s="35"/>
      <c r="J20" s="71"/>
      <c r="K20" s="71"/>
      <c r="L20" s="71"/>
      <c r="N20" s="36"/>
    </row>
    <row r="21" spans="2:14" x14ac:dyDescent="0.25">
      <c r="B21" s="48">
        <v>6</v>
      </c>
      <c r="C21" s="73" t="s">
        <v>47</v>
      </c>
      <c r="D21" s="48" t="s">
        <v>20</v>
      </c>
      <c r="E21" s="29"/>
      <c r="F21" s="68">
        <v>2</v>
      </c>
      <c r="G21" s="51">
        <f t="shared" si="2"/>
        <v>0</v>
      </c>
      <c r="H21" s="51">
        <f t="shared" si="3"/>
        <v>0</v>
      </c>
      <c r="I21" s="35"/>
      <c r="J21" s="67"/>
      <c r="N21" s="36"/>
    </row>
    <row r="22" spans="2:14" x14ac:dyDescent="0.25">
      <c r="B22" s="48">
        <v>7</v>
      </c>
      <c r="C22" s="34" t="s">
        <v>43</v>
      </c>
      <c r="D22" s="48" t="s">
        <v>24</v>
      </c>
      <c r="E22" s="29"/>
      <c r="F22" s="68">
        <v>4</v>
      </c>
      <c r="G22" s="51">
        <f>(E22*F22)</f>
        <v>0</v>
      </c>
      <c r="H22" s="51">
        <f>(G22/$H$3)</f>
        <v>0</v>
      </c>
      <c r="I22" s="35"/>
      <c r="J22" s="71"/>
      <c r="K22" s="71"/>
      <c r="L22" s="71"/>
      <c r="N22" s="36"/>
    </row>
    <row r="23" spans="2:14" x14ac:dyDescent="0.25">
      <c r="B23" s="48">
        <v>8</v>
      </c>
      <c r="C23" s="73" t="s">
        <v>49</v>
      </c>
      <c r="D23" s="48" t="s">
        <v>20</v>
      </c>
      <c r="E23" s="29"/>
      <c r="F23" s="68">
        <v>4</v>
      </c>
      <c r="G23" s="51">
        <f t="shared" si="2"/>
        <v>0</v>
      </c>
      <c r="H23" s="51">
        <f t="shared" si="3"/>
        <v>0</v>
      </c>
      <c r="I23" s="35"/>
      <c r="J23" s="67"/>
      <c r="N23" s="36"/>
    </row>
    <row r="24" spans="2:14" ht="75" x14ac:dyDescent="0.25">
      <c r="B24" s="52">
        <v>9</v>
      </c>
      <c r="C24" s="74" t="s">
        <v>41</v>
      </c>
      <c r="D24" s="48" t="s">
        <v>20</v>
      </c>
      <c r="E24" s="190"/>
      <c r="F24" s="68">
        <v>1</v>
      </c>
      <c r="G24" s="51">
        <f t="shared" si="2"/>
        <v>0</v>
      </c>
      <c r="H24" s="51">
        <f t="shared" si="3"/>
        <v>0</v>
      </c>
      <c r="I24" s="35"/>
      <c r="J24" s="67"/>
      <c r="N24" s="36"/>
    </row>
    <row r="25" spans="2:14" x14ac:dyDescent="0.25">
      <c r="B25" s="230" t="s">
        <v>26</v>
      </c>
      <c r="C25" s="231"/>
      <c r="D25" s="231"/>
      <c r="E25" s="231"/>
      <c r="F25" s="232"/>
      <c r="G25" s="39">
        <f>SUM(G16:G24)</f>
        <v>0</v>
      </c>
      <c r="H25" s="39">
        <f>SUM(H16:H24)</f>
        <v>0</v>
      </c>
      <c r="I25" s="35"/>
      <c r="J25" s="67"/>
      <c r="K25" s="174"/>
      <c r="L25" s="175"/>
      <c r="N25" s="36"/>
    </row>
    <row r="26" spans="2:14" x14ac:dyDescent="0.25">
      <c r="H26" s="66"/>
      <c r="I26" s="35"/>
    </row>
    <row r="27" spans="2:14" x14ac:dyDescent="0.25">
      <c r="B27" s="35" t="s">
        <v>233</v>
      </c>
      <c r="C27" s="35"/>
      <c r="D27" s="35"/>
      <c r="E27" s="35"/>
      <c r="F27" s="35"/>
      <c r="G27" s="35"/>
      <c r="H27" s="35"/>
      <c r="I27" s="35"/>
      <c r="K27" s="36"/>
      <c r="L27" s="36"/>
      <c r="M27" s="36"/>
    </row>
    <row r="28" spans="2:14" x14ac:dyDescent="0.25">
      <c r="B28" s="230" t="s">
        <v>50</v>
      </c>
      <c r="C28" s="231"/>
      <c r="D28" s="231"/>
      <c r="E28" s="231"/>
      <c r="F28" s="231"/>
      <c r="G28" s="231"/>
      <c r="H28" s="231"/>
      <c r="I28" s="232"/>
      <c r="K28" s="66">
        <v>12</v>
      </c>
      <c r="L28" s="42">
        <v>7.1999999999999998E-3</v>
      </c>
    </row>
    <row r="29" spans="2:14" ht="60" x14ac:dyDescent="0.25">
      <c r="B29" s="40" t="s">
        <v>1</v>
      </c>
      <c r="C29" s="43" t="s">
        <v>19</v>
      </c>
      <c r="D29" s="44" t="s">
        <v>28</v>
      </c>
      <c r="E29" s="44" t="s">
        <v>29</v>
      </c>
      <c r="F29" s="44" t="s">
        <v>30</v>
      </c>
      <c r="G29" s="46" t="s">
        <v>31</v>
      </c>
      <c r="H29" s="46" t="s">
        <v>32</v>
      </c>
      <c r="I29" s="46" t="s">
        <v>33</v>
      </c>
      <c r="J29" s="46" t="s">
        <v>34</v>
      </c>
      <c r="K29" s="46" t="s">
        <v>35</v>
      </c>
      <c r="L29" s="46" t="s">
        <v>36</v>
      </c>
      <c r="M29" s="46" t="s">
        <v>37</v>
      </c>
    </row>
    <row r="30" spans="2:14" ht="180" x14ac:dyDescent="0.25">
      <c r="B30" s="75">
        <v>1</v>
      </c>
      <c r="C30" s="34" t="s">
        <v>51</v>
      </c>
      <c r="D30" s="76">
        <v>8433</v>
      </c>
      <c r="E30" s="76">
        <v>10</v>
      </c>
      <c r="F30" s="77">
        <v>0.1</v>
      </c>
      <c r="G30" s="29"/>
      <c r="H30" s="49">
        <v>4</v>
      </c>
      <c r="I30" s="78">
        <f>G30*F30</f>
        <v>0</v>
      </c>
      <c r="J30" s="50">
        <f>((G30-I30)/E30)*H30</f>
        <v>0</v>
      </c>
      <c r="K30" s="50">
        <f>J30/$K$28</f>
        <v>0</v>
      </c>
      <c r="L30" s="31">
        <f>(G30*H30)*$L$28</f>
        <v>0</v>
      </c>
      <c r="M30" s="51">
        <f>K30+L30</f>
        <v>0</v>
      </c>
      <c r="N30" s="36"/>
    </row>
    <row r="31" spans="2:14" ht="90" x14ac:dyDescent="0.25">
      <c r="B31" s="75">
        <v>2</v>
      </c>
      <c r="C31" s="34" t="s">
        <v>52</v>
      </c>
      <c r="D31" s="76">
        <v>8412</v>
      </c>
      <c r="E31" s="76">
        <v>10</v>
      </c>
      <c r="F31" s="77">
        <v>0.1</v>
      </c>
      <c r="G31" s="29"/>
      <c r="H31" s="49">
        <v>1</v>
      </c>
      <c r="I31" s="78">
        <f>G31*F31</f>
        <v>0</v>
      </c>
      <c r="J31" s="50">
        <f>((G31-I31)/E31)*H31</f>
        <v>0</v>
      </c>
      <c r="K31" s="50">
        <f t="shared" ref="K31:K32" si="4">J31/$K$28</f>
        <v>0</v>
      </c>
      <c r="L31" s="31">
        <f t="shared" ref="L31:L32" si="5">(G31*H31)*$L$28</f>
        <v>0</v>
      </c>
      <c r="M31" s="51">
        <f t="shared" ref="M31:M32" si="6">K31+L31</f>
        <v>0</v>
      </c>
      <c r="N31" s="36"/>
    </row>
    <row r="32" spans="2:14" ht="210" x14ac:dyDescent="0.25">
      <c r="B32" s="75">
        <v>3</v>
      </c>
      <c r="C32" s="34" t="s">
        <v>53</v>
      </c>
      <c r="D32" s="76">
        <v>8433</v>
      </c>
      <c r="E32" s="76">
        <v>10</v>
      </c>
      <c r="F32" s="77">
        <v>0.1</v>
      </c>
      <c r="G32" s="29"/>
      <c r="H32" s="49">
        <v>2</v>
      </c>
      <c r="I32" s="78">
        <f>G32*F32</f>
        <v>0</v>
      </c>
      <c r="J32" s="50">
        <f>((G32-I32)/E32)*H32</f>
        <v>0</v>
      </c>
      <c r="K32" s="50">
        <f t="shared" si="4"/>
        <v>0</v>
      </c>
      <c r="L32" s="31">
        <f t="shared" si="5"/>
        <v>0</v>
      </c>
      <c r="M32" s="51">
        <f t="shared" si="6"/>
        <v>0</v>
      </c>
      <c r="N32" s="36"/>
    </row>
    <row r="33" spans="2:14" x14ac:dyDescent="0.25">
      <c r="B33" s="54"/>
      <c r="C33" s="55" t="s">
        <v>26</v>
      </c>
      <c r="D33" s="56"/>
      <c r="E33" s="56"/>
      <c r="F33" s="56"/>
      <c r="G33" s="58">
        <f>SUM(G30:G32)</f>
        <v>0</v>
      </c>
      <c r="H33" s="57">
        <f>SUM(H30:H32)</f>
        <v>7</v>
      </c>
      <c r="I33" s="58">
        <f t="shared" ref="I33:M33" si="7">SUM(I30:I32)</f>
        <v>0</v>
      </c>
      <c r="J33" s="58">
        <f t="shared" si="7"/>
        <v>0</v>
      </c>
      <c r="K33" s="58">
        <f t="shared" si="7"/>
        <v>0</v>
      </c>
      <c r="L33" s="58">
        <f t="shared" si="7"/>
        <v>0</v>
      </c>
      <c r="M33" s="58">
        <f t="shared" si="7"/>
        <v>0</v>
      </c>
      <c r="N33" s="36"/>
    </row>
    <row r="34" spans="2:14" x14ac:dyDescent="0.25">
      <c r="B34" s="59"/>
      <c r="C34" s="60" t="s">
        <v>247</v>
      </c>
      <c r="D34" s="61"/>
      <c r="E34" s="61"/>
      <c r="F34" s="61"/>
      <c r="G34" s="61"/>
      <c r="H34" s="61"/>
      <c r="I34" s="61"/>
      <c r="J34" s="62"/>
      <c r="K34" s="61"/>
      <c r="L34" s="63"/>
      <c r="M34" s="64">
        <f>M33/2</f>
        <v>0</v>
      </c>
      <c r="N34" s="36"/>
    </row>
    <row r="35" spans="2:14" x14ac:dyDescent="0.25">
      <c r="K35" s="36"/>
      <c r="L35" s="36"/>
      <c r="M35" s="36"/>
      <c r="N35" s="36"/>
    </row>
    <row r="38" spans="2:14" x14ac:dyDescent="0.25">
      <c r="M38" s="174"/>
    </row>
  </sheetData>
  <mergeCells count="3">
    <mergeCell ref="B11:F11"/>
    <mergeCell ref="B25:F25"/>
    <mergeCell ref="B28:I28"/>
  </mergeCells>
  <pageMargins left="0.511811024" right="0.511811024" top="0.78740157499999996" bottom="0.78740157499999996" header="0.31496062000000002" footer="0.31496062000000002"/>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1"/>
  <sheetViews>
    <sheetView showGridLines="0" zoomScaleNormal="100" workbookViewId="0">
      <selection activeCell="D85" sqref="D85:D88"/>
    </sheetView>
  </sheetViews>
  <sheetFormatPr defaultRowHeight="15" x14ac:dyDescent="0.25"/>
  <cols>
    <col min="1" max="1" width="3.7109375" style="100" customWidth="1"/>
    <col min="2" max="2" width="9.140625" style="100"/>
    <col min="3" max="3" width="92.85546875" style="100" customWidth="1"/>
    <col min="4" max="4" width="18" style="100" customWidth="1"/>
    <col min="5" max="5" width="14.28515625" style="100" customWidth="1"/>
    <col min="6" max="6" width="12.7109375" style="100" customWidth="1"/>
    <col min="7" max="7" width="12" style="100" customWidth="1"/>
    <col min="8" max="8" width="15.140625" style="100" customWidth="1"/>
    <col min="9" max="9" width="10.7109375" style="100" bestFit="1" customWidth="1"/>
    <col min="10" max="16384" width="9.140625" style="100"/>
  </cols>
  <sheetData>
    <row r="1" spans="2:5" x14ac:dyDescent="0.25">
      <c r="B1" s="234" t="s">
        <v>87</v>
      </c>
      <c r="C1" s="234"/>
      <c r="D1" s="234"/>
      <c r="E1" s="234"/>
    </row>
    <row r="2" spans="2:5" x14ac:dyDescent="0.25">
      <c r="B2" s="234" t="s">
        <v>88</v>
      </c>
      <c r="C2" s="234"/>
      <c r="D2" s="234"/>
      <c r="E2" s="234"/>
    </row>
    <row r="3" spans="2:5" x14ac:dyDescent="0.25">
      <c r="B3" s="188"/>
      <c r="C3" s="188" t="s">
        <v>89</v>
      </c>
      <c r="D3" s="188"/>
      <c r="E3" s="188"/>
    </row>
    <row r="4" spans="2:5" x14ac:dyDescent="0.25">
      <c r="B4" s="188"/>
      <c r="C4" s="98" t="s">
        <v>90</v>
      </c>
      <c r="D4" s="188"/>
      <c r="E4" s="188"/>
    </row>
    <row r="5" spans="2:5" x14ac:dyDescent="0.25">
      <c r="B5" s="235" t="s">
        <v>91</v>
      </c>
      <c r="C5" s="235"/>
      <c r="D5" s="235"/>
      <c r="E5" s="235"/>
    </row>
    <row r="6" spans="2:5" x14ac:dyDescent="0.25">
      <c r="B6" s="101"/>
      <c r="C6" s="102"/>
      <c r="D6" s="101"/>
      <c r="E6" s="101"/>
    </row>
    <row r="7" spans="2:5" x14ac:dyDescent="0.25">
      <c r="B7" s="101"/>
      <c r="C7" s="102"/>
      <c r="D7" s="101"/>
      <c r="E7" s="101"/>
    </row>
    <row r="8" spans="2:5" ht="33" customHeight="1" x14ac:dyDescent="0.25">
      <c r="B8" s="236" t="s">
        <v>248</v>
      </c>
      <c r="C8" s="237"/>
      <c r="D8" s="237"/>
    </row>
    <row r="9" spans="2:5" x14ac:dyDescent="0.25">
      <c r="C9" s="41"/>
    </row>
    <row r="10" spans="2:5" x14ac:dyDescent="0.25">
      <c r="B10" s="238" t="s">
        <v>92</v>
      </c>
      <c r="C10" s="238"/>
      <c r="D10" s="238"/>
    </row>
    <row r="11" spans="2:5" ht="15.75" thickBot="1" x14ac:dyDescent="0.3"/>
    <row r="12" spans="2:5" ht="15.75" thickBot="1" x14ac:dyDescent="0.3">
      <c r="B12" s="103">
        <v>1</v>
      </c>
      <c r="C12" s="104" t="s">
        <v>93</v>
      </c>
      <c r="D12" s="104" t="s">
        <v>94</v>
      </c>
    </row>
    <row r="13" spans="2:5" ht="15.75" thickBot="1" x14ac:dyDescent="0.3">
      <c r="B13" s="105" t="s">
        <v>95</v>
      </c>
      <c r="C13" s="106" t="s">
        <v>96</v>
      </c>
      <c r="D13" s="107"/>
    </row>
    <row r="14" spans="2:5" ht="15.75" thickBot="1" x14ac:dyDescent="0.3">
      <c r="B14" s="105" t="s">
        <v>97</v>
      </c>
      <c r="C14" s="106" t="s">
        <v>98</v>
      </c>
      <c r="D14" s="107"/>
    </row>
    <row r="15" spans="2:5" ht="15.75" thickBot="1" x14ac:dyDescent="0.3">
      <c r="B15" s="105" t="s">
        <v>99</v>
      </c>
      <c r="C15" s="106" t="s">
        <v>100</v>
      </c>
      <c r="D15" s="108"/>
    </row>
    <row r="16" spans="2:5" ht="15.75" thickBot="1" x14ac:dyDescent="0.3">
      <c r="B16" s="105" t="s">
        <v>101</v>
      </c>
      <c r="C16" s="106" t="s">
        <v>102</v>
      </c>
      <c r="D16" s="108"/>
    </row>
    <row r="17" spans="2:9" ht="15.75" thickBot="1" x14ac:dyDescent="0.3">
      <c r="B17" s="105" t="s">
        <v>103</v>
      </c>
      <c r="C17" s="106" t="s">
        <v>104</v>
      </c>
      <c r="D17" s="108"/>
    </row>
    <row r="18" spans="2:9" ht="15.75" thickBot="1" x14ac:dyDescent="0.3">
      <c r="B18" s="105" t="s">
        <v>105</v>
      </c>
      <c r="C18" s="106" t="s">
        <v>106</v>
      </c>
      <c r="D18" s="108"/>
    </row>
    <row r="19" spans="2:9" ht="15.75" thickBot="1" x14ac:dyDescent="0.3">
      <c r="B19" s="105"/>
      <c r="C19" s="106"/>
      <c r="D19" s="108"/>
    </row>
    <row r="20" spans="2:9" ht="15.75" thickBot="1" x14ac:dyDescent="0.3">
      <c r="B20" s="239" t="s">
        <v>107</v>
      </c>
      <c r="C20" s="240"/>
      <c r="D20" s="109">
        <f>SUM(D13:D19)</f>
        <v>0</v>
      </c>
      <c r="F20" s="110"/>
    </row>
    <row r="22" spans="2:9" x14ac:dyDescent="0.25">
      <c r="B22" s="241" t="s">
        <v>108</v>
      </c>
      <c r="C22" s="241"/>
      <c r="D22" s="241"/>
    </row>
    <row r="23" spans="2:9" x14ac:dyDescent="0.25">
      <c r="B23" s="16"/>
    </row>
    <row r="24" spans="2:9" x14ac:dyDescent="0.25">
      <c r="B24" s="233" t="s">
        <v>238</v>
      </c>
      <c r="C24" s="233"/>
      <c r="D24" s="233"/>
    </row>
    <row r="25" spans="2:9" ht="15.75" thickBot="1" x14ac:dyDescent="0.3"/>
    <row r="26" spans="2:9" ht="15.75" thickBot="1" x14ac:dyDescent="0.3">
      <c r="B26" s="103" t="s">
        <v>110</v>
      </c>
      <c r="C26" s="104" t="s">
        <v>111</v>
      </c>
      <c r="D26" s="104" t="s">
        <v>94</v>
      </c>
    </row>
    <row r="27" spans="2:9" ht="15.75" thickBot="1" x14ac:dyDescent="0.3">
      <c r="B27" s="105" t="s">
        <v>95</v>
      </c>
      <c r="C27" s="106" t="s">
        <v>207</v>
      </c>
      <c r="D27" s="107">
        <f>D20/12</f>
        <v>0</v>
      </c>
    </row>
    <row r="28" spans="2:9" ht="15.75" thickBot="1" x14ac:dyDescent="0.3">
      <c r="B28" s="105" t="s">
        <v>97</v>
      </c>
      <c r="C28" s="106" t="s">
        <v>203</v>
      </c>
      <c r="D28" s="111">
        <f>(D20/3)/12+D27</f>
        <v>0</v>
      </c>
      <c r="H28" s="110"/>
      <c r="I28" s="110"/>
    </row>
    <row r="29" spans="2:9" ht="15.75" thickBot="1" x14ac:dyDescent="0.3">
      <c r="B29" s="239" t="s">
        <v>107</v>
      </c>
      <c r="C29" s="240"/>
      <c r="D29" s="109">
        <f>SUM(D27:D28)</f>
        <v>0</v>
      </c>
      <c r="H29" s="110"/>
    </row>
    <row r="31" spans="2:9" x14ac:dyDescent="0.25">
      <c r="B31" s="242" t="s">
        <v>210</v>
      </c>
      <c r="C31" s="242"/>
      <c r="D31" s="242"/>
      <c r="E31" s="242"/>
    </row>
    <row r="32" spans="2:9" ht="15.75" thickBot="1" x14ac:dyDescent="0.3"/>
    <row r="33" spans="2:8" ht="15.75" thickBot="1" x14ac:dyDescent="0.3">
      <c r="B33" s="103" t="s">
        <v>112</v>
      </c>
      <c r="C33" s="104" t="s">
        <v>211</v>
      </c>
      <c r="D33" s="104" t="s">
        <v>113</v>
      </c>
      <c r="E33" s="104" t="s">
        <v>94</v>
      </c>
    </row>
    <row r="34" spans="2:8" ht="15.75" thickBot="1" x14ac:dyDescent="0.3">
      <c r="B34" s="105" t="s">
        <v>95</v>
      </c>
      <c r="C34" s="106" t="s">
        <v>114</v>
      </c>
      <c r="D34" s="112">
        <v>0.2</v>
      </c>
      <c r="E34" s="107">
        <f t="shared" ref="E34:E41" si="0">($D$20+$D$29)*D34</f>
        <v>0</v>
      </c>
    </row>
    <row r="35" spans="2:8" ht="15.75" thickBot="1" x14ac:dyDescent="0.3">
      <c r="B35" s="105" t="s">
        <v>97</v>
      </c>
      <c r="C35" s="106" t="s">
        <v>115</v>
      </c>
      <c r="D35" s="112">
        <v>2.5000000000000001E-2</v>
      </c>
      <c r="E35" s="107">
        <f t="shared" si="0"/>
        <v>0</v>
      </c>
    </row>
    <row r="36" spans="2:8" ht="15.75" thickBot="1" x14ac:dyDescent="0.3">
      <c r="B36" s="105" t="s">
        <v>99</v>
      </c>
      <c r="C36" s="106" t="s">
        <v>218</v>
      </c>
      <c r="D36" s="167">
        <v>0.03</v>
      </c>
      <c r="E36" s="107">
        <f t="shared" si="0"/>
        <v>0</v>
      </c>
    </row>
    <row r="37" spans="2:8" ht="15.75" thickBot="1" x14ac:dyDescent="0.3">
      <c r="B37" s="105" t="s">
        <v>101</v>
      </c>
      <c r="C37" s="106" t="s">
        <v>221</v>
      </c>
      <c r="D37" s="167">
        <v>1.4999999999999999E-2</v>
      </c>
      <c r="E37" s="107">
        <f t="shared" si="0"/>
        <v>0</v>
      </c>
    </row>
    <row r="38" spans="2:8" ht="15.75" thickBot="1" x14ac:dyDescent="0.3">
      <c r="B38" s="105" t="s">
        <v>103</v>
      </c>
      <c r="C38" s="106" t="s">
        <v>222</v>
      </c>
      <c r="D38" s="167">
        <v>0.01</v>
      </c>
      <c r="E38" s="107">
        <f t="shared" si="0"/>
        <v>0</v>
      </c>
    </row>
    <row r="39" spans="2:8" ht="15.75" thickBot="1" x14ac:dyDescent="0.3">
      <c r="B39" s="105" t="s">
        <v>105</v>
      </c>
      <c r="C39" s="106" t="s">
        <v>116</v>
      </c>
      <c r="D39" s="112">
        <v>6.0000000000000001E-3</v>
      </c>
      <c r="E39" s="107">
        <f t="shared" si="0"/>
        <v>0</v>
      </c>
    </row>
    <row r="40" spans="2:8" ht="15.75" thickBot="1" x14ac:dyDescent="0.3">
      <c r="B40" s="105" t="s">
        <v>117</v>
      </c>
      <c r="C40" s="106" t="s">
        <v>118</v>
      </c>
      <c r="D40" s="112">
        <v>2E-3</v>
      </c>
      <c r="E40" s="107">
        <f t="shared" si="0"/>
        <v>0</v>
      </c>
    </row>
    <row r="41" spans="2:8" ht="15.75" thickBot="1" x14ac:dyDescent="0.3">
      <c r="B41" s="105" t="s">
        <v>119</v>
      </c>
      <c r="C41" s="113" t="s">
        <v>120</v>
      </c>
      <c r="D41" s="112">
        <v>0.08</v>
      </c>
      <c r="E41" s="107">
        <f t="shared" si="0"/>
        <v>0</v>
      </c>
    </row>
    <row r="42" spans="2:8" ht="15.75" thickBot="1" x14ac:dyDescent="0.3">
      <c r="B42" s="239" t="s">
        <v>121</v>
      </c>
      <c r="C42" s="240"/>
      <c r="D42" s="136">
        <f>SUM(D34:D41)</f>
        <v>0.36800000000000005</v>
      </c>
      <c r="E42" s="109">
        <f>SUM(E34:E41)</f>
        <v>0</v>
      </c>
      <c r="H42" s="110"/>
    </row>
    <row r="45" spans="2:8" x14ac:dyDescent="0.25">
      <c r="B45" s="233" t="s">
        <v>122</v>
      </c>
      <c r="C45" s="233"/>
      <c r="D45" s="233"/>
    </row>
    <row r="46" spans="2:8" ht="15.75" thickBot="1" x14ac:dyDescent="0.3"/>
    <row r="47" spans="2:8" ht="15.75" thickBot="1" x14ac:dyDescent="0.3">
      <c r="B47" s="103" t="s">
        <v>123</v>
      </c>
      <c r="C47" s="104" t="s">
        <v>124</v>
      </c>
      <c r="D47" s="104" t="s">
        <v>94</v>
      </c>
    </row>
    <row r="48" spans="2:8" ht="15.75" thickBot="1" x14ac:dyDescent="0.3">
      <c r="B48" s="105" t="s">
        <v>95</v>
      </c>
      <c r="C48" s="114" t="s">
        <v>125</v>
      </c>
      <c r="D48" s="111">
        <f>Beneficios!H4</f>
        <v>0</v>
      </c>
    </row>
    <row r="49" spans="2:4" ht="15.75" thickBot="1" x14ac:dyDescent="0.3">
      <c r="B49" s="105" t="s">
        <v>97</v>
      </c>
      <c r="C49" s="113" t="s">
        <v>126</v>
      </c>
      <c r="D49" s="107">
        <f>Beneficios!H10</f>
        <v>0</v>
      </c>
    </row>
    <row r="50" spans="2:4" ht="15.75" thickBot="1" x14ac:dyDescent="0.3">
      <c r="B50" s="105" t="s">
        <v>99</v>
      </c>
      <c r="C50" s="106" t="s">
        <v>220</v>
      </c>
      <c r="D50" s="107"/>
    </row>
    <row r="51" spans="2:4" ht="15.75" thickBot="1" x14ac:dyDescent="0.3">
      <c r="B51" s="105" t="s">
        <v>101</v>
      </c>
      <c r="C51" s="106" t="s">
        <v>223</v>
      </c>
      <c r="D51" s="164">
        <f>Beneficios!H14</f>
        <v>0</v>
      </c>
    </row>
    <row r="52" spans="2:4" ht="15.75" thickBot="1" x14ac:dyDescent="0.3">
      <c r="B52" s="105" t="s">
        <v>103</v>
      </c>
      <c r="C52" s="106" t="s">
        <v>219</v>
      </c>
      <c r="D52" s="107">
        <v>0</v>
      </c>
    </row>
    <row r="53" spans="2:4" ht="15.75" thickBot="1" x14ac:dyDescent="0.3">
      <c r="B53" s="239" t="s">
        <v>107</v>
      </c>
      <c r="C53" s="240"/>
      <c r="D53" s="109">
        <f>SUM(D48:D52)</f>
        <v>0</v>
      </c>
    </row>
    <row r="56" spans="2:4" x14ac:dyDescent="0.25">
      <c r="B56" s="233" t="s">
        <v>127</v>
      </c>
      <c r="C56" s="233"/>
      <c r="D56" s="233"/>
    </row>
    <row r="57" spans="2:4" ht="15.75" thickBot="1" x14ac:dyDescent="0.3"/>
    <row r="58" spans="2:4" ht="15.75" thickBot="1" x14ac:dyDescent="0.3">
      <c r="B58" s="103">
        <v>2</v>
      </c>
      <c r="C58" s="104" t="s">
        <v>128</v>
      </c>
      <c r="D58" s="104" t="s">
        <v>94</v>
      </c>
    </row>
    <row r="59" spans="2:4" ht="15.75" thickBot="1" x14ac:dyDescent="0.3">
      <c r="B59" s="105" t="s">
        <v>110</v>
      </c>
      <c r="C59" s="106" t="s">
        <v>129</v>
      </c>
      <c r="D59" s="111">
        <f>D29</f>
        <v>0</v>
      </c>
    </row>
    <row r="60" spans="2:4" ht="15.75" thickBot="1" x14ac:dyDescent="0.3">
      <c r="B60" s="105" t="s">
        <v>112</v>
      </c>
      <c r="C60" s="106" t="s">
        <v>208</v>
      </c>
      <c r="D60" s="111">
        <f>E42</f>
        <v>0</v>
      </c>
    </row>
    <row r="61" spans="2:4" ht="15.75" thickBot="1" x14ac:dyDescent="0.3">
      <c r="B61" s="105" t="s">
        <v>123</v>
      </c>
      <c r="C61" s="106" t="s">
        <v>130</v>
      </c>
      <c r="D61" s="107">
        <f>D53</f>
        <v>0</v>
      </c>
    </row>
    <row r="62" spans="2:4" ht="15.75" thickBot="1" x14ac:dyDescent="0.3">
      <c r="B62" s="239" t="s">
        <v>107</v>
      </c>
      <c r="C62" s="240"/>
      <c r="D62" s="109">
        <f>SUM(D59:D61)</f>
        <v>0</v>
      </c>
    </row>
    <row r="63" spans="2:4" x14ac:dyDescent="0.25">
      <c r="B63" s="4"/>
    </row>
    <row r="65" spans="2:9" x14ac:dyDescent="0.25">
      <c r="B65" s="241" t="s">
        <v>131</v>
      </c>
      <c r="C65" s="241"/>
      <c r="D65" s="241"/>
    </row>
    <row r="66" spans="2:9" ht="15.75" thickBot="1" x14ac:dyDescent="0.3"/>
    <row r="67" spans="2:9" ht="15.75" thickBot="1" x14ac:dyDescent="0.3">
      <c r="B67" s="103">
        <v>3</v>
      </c>
      <c r="C67" s="104" t="s">
        <v>132</v>
      </c>
      <c r="D67" s="104" t="s">
        <v>94</v>
      </c>
    </row>
    <row r="68" spans="2:9" ht="30.75" thickBot="1" x14ac:dyDescent="0.3">
      <c r="B68" s="105" t="s">
        <v>95</v>
      </c>
      <c r="C68" s="115" t="s">
        <v>239</v>
      </c>
      <c r="D68" s="116">
        <f>(D20+D29+E41)/12</f>
        <v>0</v>
      </c>
      <c r="E68" s="117"/>
    </row>
    <row r="69" spans="2:9" ht="15.75" thickBot="1" x14ac:dyDescent="0.3">
      <c r="B69" s="105" t="s">
        <v>97</v>
      </c>
      <c r="C69" s="118" t="s">
        <v>133</v>
      </c>
      <c r="D69" s="116">
        <f>D68*0.08</f>
        <v>0</v>
      </c>
      <c r="E69" s="117"/>
    </row>
    <row r="70" spans="2:9" ht="15.75" thickBot="1" x14ac:dyDescent="0.3">
      <c r="B70" s="105" t="s">
        <v>99</v>
      </c>
      <c r="C70" s="118" t="s">
        <v>215</v>
      </c>
      <c r="D70" s="158">
        <f>D69*0.4</f>
        <v>0</v>
      </c>
      <c r="E70" s="117"/>
    </row>
    <row r="71" spans="2:9" ht="45.75" thickBot="1" x14ac:dyDescent="0.3">
      <c r="B71" s="105" t="s">
        <v>101</v>
      </c>
      <c r="C71" s="115" t="s">
        <v>240</v>
      </c>
      <c r="D71" s="119">
        <f>(((D20+D29+E42)/30)*7)/12</f>
        <v>0</v>
      </c>
      <c r="E71" s="117"/>
    </row>
    <row r="72" spans="2:9" ht="30.75" thickBot="1" x14ac:dyDescent="0.3">
      <c r="B72" s="105" t="s">
        <v>103</v>
      </c>
      <c r="C72" s="118" t="s">
        <v>209</v>
      </c>
      <c r="D72" s="116">
        <f>D71*0.368</f>
        <v>0</v>
      </c>
      <c r="E72" s="117"/>
    </row>
    <row r="73" spans="2:9" ht="31.5" customHeight="1" thickBot="1" x14ac:dyDescent="0.3">
      <c r="B73" s="105" t="s">
        <v>105</v>
      </c>
      <c r="C73" s="118" t="s">
        <v>243</v>
      </c>
      <c r="D73" s="120">
        <f>((D71*0.08))*0.4</f>
        <v>0</v>
      </c>
      <c r="E73" s="117"/>
      <c r="G73" s="110"/>
      <c r="H73" s="110"/>
      <c r="I73" s="110"/>
    </row>
    <row r="74" spans="2:9" ht="15.75" thickBot="1" x14ac:dyDescent="0.3">
      <c r="B74" s="239" t="s">
        <v>107</v>
      </c>
      <c r="C74" s="240"/>
      <c r="D74" s="109">
        <f>SUM(D68:D73)</f>
        <v>0</v>
      </c>
      <c r="E74" s="110"/>
      <c r="H74" s="110"/>
      <c r="I74" s="110"/>
    </row>
    <row r="75" spans="2:9" ht="9" customHeight="1" x14ac:dyDescent="0.25">
      <c r="E75" s="110"/>
      <c r="H75" s="110"/>
      <c r="I75" s="110"/>
    </row>
    <row r="76" spans="2:9" ht="95.25" customHeight="1" x14ac:dyDescent="0.25">
      <c r="B76" s="243" t="s">
        <v>246</v>
      </c>
      <c r="C76" s="244"/>
      <c r="D76" s="244"/>
      <c r="E76" s="110"/>
      <c r="H76" s="110"/>
      <c r="I76" s="110"/>
    </row>
    <row r="77" spans="2:9" x14ac:dyDescent="0.25">
      <c r="E77" s="110"/>
    </row>
    <row r="78" spans="2:9" x14ac:dyDescent="0.25">
      <c r="B78" s="241" t="s">
        <v>134</v>
      </c>
      <c r="C78" s="241"/>
      <c r="D78" s="241"/>
    </row>
    <row r="79" spans="2:9" x14ac:dyDescent="0.25">
      <c r="B79" s="121"/>
      <c r="C79" s="121"/>
      <c r="D79" s="121"/>
    </row>
    <row r="80" spans="2:9" x14ac:dyDescent="0.25">
      <c r="B80" s="121"/>
      <c r="C80" s="121"/>
      <c r="D80" s="121"/>
      <c r="H80" s="110"/>
      <c r="I80" s="110"/>
    </row>
    <row r="81" spans="2:8" x14ac:dyDescent="0.25">
      <c r="B81" s="233" t="s">
        <v>135</v>
      </c>
      <c r="C81" s="233"/>
      <c r="D81" s="233"/>
    </row>
    <row r="82" spans="2:8" ht="15.75" thickBot="1" x14ac:dyDescent="0.3">
      <c r="B82" s="122"/>
      <c r="C82" s="121"/>
      <c r="D82" s="121"/>
      <c r="H82" s="110"/>
    </row>
    <row r="83" spans="2:8" ht="15.75" thickBot="1" x14ac:dyDescent="0.3">
      <c r="B83" s="123" t="s">
        <v>136</v>
      </c>
      <c r="C83" s="124" t="s">
        <v>137</v>
      </c>
      <c r="D83" s="124" t="s">
        <v>94</v>
      </c>
    </row>
    <row r="84" spans="2:8" ht="15.75" thickBot="1" x14ac:dyDescent="0.3">
      <c r="B84" s="125" t="s">
        <v>95</v>
      </c>
      <c r="C84" s="113" t="s">
        <v>138</v>
      </c>
      <c r="D84" s="120">
        <f>(((D20/12)/12)*2)+(((D20/3)/12)/12)</f>
        <v>0</v>
      </c>
    </row>
    <row r="85" spans="2:8" ht="15.75" thickBot="1" x14ac:dyDescent="0.3">
      <c r="B85" s="125" t="s">
        <v>97</v>
      </c>
      <c r="C85" s="113" t="s">
        <v>139</v>
      </c>
      <c r="D85" s="120"/>
      <c r="E85" s="110"/>
    </row>
    <row r="86" spans="2:8" ht="15.75" thickBot="1" x14ac:dyDescent="0.3">
      <c r="B86" s="125" t="s">
        <v>99</v>
      </c>
      <c r="C86" s="113" t="s">
        <v>140</v>
      </c>
      <c r="D86" s="120"/>
      <c r="E86" s="110"/>
    </row>
    <row r="87" spans="2:8" ht="15.75" thickBot="1" x14ac:dyDescent="0.3">
      <c r="B87" s="125" t="s">
        <v>101</v>
      </c>
      <c r="C87" s="113" t="s">
        <v>141</v>
      </c>
      <c r="D87" s="120"/>
      <c r="E87" s="110"/>
    </row>
    <row r="88" spans="2:8" ht="15.75" thickBot="1" x14ac:dyDescent="0.3">
      <c r="B88" s="125" t="s">
        <v>103</v>
      </c>
      <c r="C88" s="113" t="s">
        <v>142</v>
      </c>
      <c r="D88" s="120"/>
      <c r="E88" s="110"/>
    </row>
    <row r="89" spans="2:8" ht="15.75" thickBot="1" x14ac:dyDescent="0.3">
      <c r="B89" s="125" t="s">
        <v>105</v>
      </c>
      <c r="C89" s="113" t="s">
        <v>143</v>
      </c>
      <c r="D89" s="120"/>
    </row>
    <row r="90" spans="2:8" ht="15.75" thickBot="1" x14ac:dyDescent="0.3">
      <c r="B90" s="239" t="s">
        <v>121</v>
      </c>
      <c r="C90" s="240"/>
      <c r="D90" s="109">
        <f>SUM(D84:D89)</f>
        <v>0</v>
      </c>
    </row>
    <row r="91" spans="2:8" x14ac:dyDescent="0.25">
      <c r="B91" s="121"/>
      <c r="C91" s="121"/>
      <c r="D91" s="121"/>
    </row>
    <row r="92" spans="2:8" x14ac:dyDescent="0.25">
      <c r="B92" s="121"/>
      <c r="C92" s="121"/>
      <c r="D92" s="121"/>
    </row>
    <row r="93" spans="2:8" x14ac:dyDescent="0.25">
      <c r="B93" s="233" t="s">
        <v>144</v>
      </c>
      <c r="C93" s="233"/>
      <c r="D93" s="233"/>
    </row>
    <row r="94" spans="2:8" ht="15.75" thickBot="1" x14ac:dyDescent="0.3">
      <c r="B94" s="122"/>
      <c r="C94" s="121"/>
      <c r="D94" s="121"/>
    </row>
    <row r="95" spans="2:8" ht="15.75" thickBot="1" x14ac:dyDescent="0.3">
      <c r="B95" s="123" t="s">
        <v>145</v>
      </c>
      <c r="C95" s="124" t="s">
        <v>146</v>
      </c>
      <c r="D95" s="124" t="s">
        <v>94</v>
      </c>
    </row>
    <row r="96" spans="2:8" ht="15.75" thickBot="1" x14ac:dyDescent="0.3">
      <c r="B96" s="125" t="s">
        <v>95</v>
      </c>
      <c r="C96" s="113" t="s">
        <v>147</v>
      </c>
      <c r="D96" s="126"/>
    </row>
    <row r="97" spans="1:4" ht="15.75" thickBot="1" x14ac:dyDescent="0.3">
      <c r="B97" s="239" t="s">
        <v>107</v>
      </c>
      <c r="C97" s="240"/>
      <c r="D97" s="109">
        <f>SUM(D96)</f>
        <v>0</v>
      </c>
    </row>
    <row r="98" spans="1:4" x14ac:dyDescent="0.25">
      <c r="B98" s="121"/>
      <c r="C98" s="121"/>
      <c r="D98" s="121"/>
    </row>
    <row r="99" spans="1:4" x14ac:dyDescent="0.25">
      <c r="B99" s="121"/>
      <c r="C99" s="121"/>
      <c r="D99" s="121"/>
    </row>
    <row r="100" spans="1:4" x14ac:dyDescent="0.25">
      <c r="B100" s="233" t="s">
        <v>148</v>
      </c>
      <c r="C100" s="233"/>
      <c r="D100" s="233"/>
    </row>
    <row r="101" spans="1:4" ht="15.75" thickBot="1" x14ac:dyDescent="0.3">
      <c r="B101" s="122"/>
      <c r="C101" s="121"/>
      <c r="D101" s="121"/>
    </row>
    <row r="102" spans="1:4" ht="15.75" thickBot="1" x14ac:dyDescent="0.3">
      <c r="B102" s="123">
        <v>4</v>
      </c>
      <c r="C102" s="124" t="s">
        <v>149</v>
      </c>
      <c r="D102" s="124" t="s">
        <v>94</v>
      </c>
    </row>
    <row r="103" spans="1:4" ht="15.75" thickBot="1" x14ac:dyDescent="0.3">
      <c r="B103" s="125" t="s">
        <v>136</v>
      </c>
      <c r="C103" s="113" t="s">
        <v>150</v>
      </c>
      <c r="D103" s="120">
        <f>D90</f>
        <v>0</v>
      </c>
    </row>
    <row r="104" spans="1:4" ht="15.75" thickBot="1" x14ac:dyDescent="0.3">
      <c r="B104" s="125" t="s">
        <v>145</v>
      </c>
      <c r="C104" s="99" t="s">
        <v>151</v>
      </c>
      <c r="D104" s="127">
        <f>D97</f>
        <v>0</v>
      </c>
    </row>
    <row r="105" spans="1:4" ht="15.75" thickBot="1" x14ac:dyDescent="0.3">
      <c r="B105" s="239" t="s">
        <v>107</v>
      </c>
      <c r="C105" s="240"/>
      <c r="D105" s="109">
        <f>SUM(D103:D104)</f>
        <v>0</v>
      </c>
    </row>
    <row r="108" spans="1:4" x14ac:dyDescent="0.25">
      <c r="B108" s="241" t="s">
        <v>152</v>
      </c>
      <c r="C108" s="241"/>
      <c r="D108" s="241"/>
    </row>
    <row r="109" spans="1:4" ht="15.75" thickBot="1" x14ac:dyDescent="0.3"/>
    <row r="110" spans="1:4" ht="15.75" thickBot="1" x14ac:dyDescent="0.3">
      <c r="A110" s="121"/>
      <c r="B110" s="123">
        <v>5</v>
      </c>
      <c r="C110" s="128" t="s">
        <v>153</v>
      </c>
      <c r="D110" s="124" t="s">
        <v>94</v>
      </c>
    </row>
    <row r="111" spans="1:4" ht="15.75" thickBot="1" x14ac:dyDescent="0.3">
      <c r="A111" s="121"/>
      <c r="B111" s="125" t="s">
        <v>95</v>
      </c>
      <c r="C111" s="113" t="s">
        <v>154</v>
      </c>
      <c r="D111" s="120">
        <f>'1.OPERÁRIO RURAL - MAT.'!H11</f>
        <v>0</v>
      </c>
    </row>
    <row r="112" spans="1:4" ht="15.75" thickBot="1" x14ac:dyDescent="0.3">
      <c r="A112" s="121"/>
      <c r="B112" s="125" t="s">
        <v>97</v>
      </c>
      <c r="C112" s="113" t="s">
        <v>171</v>
      </c>
      <c r="D112" s="120">
        <f>'1.OPERÁRIO RURAL - MAT.'!H26</f>
        <v>0</v>
      </c>
    </row>
    <row r="113" spans="1:5" ht="15.75" thickBot="1" x14ac:dyDescent="0.3">
      <c r="A113" s="121"/>
      <c r="B113" s="125" t="s">
        <v>99</v>
      </c>
      <c r="C113" s="113" t="s">
        <v>155</v>
      </c>
      <c r="D113" s="120"/>
    </row>
    <row r="114" spans="1:5" ht="15.75" thickBot="1" x14ac:dyDescent="0.3">
      <c r="A114" s="121"/>
      <c r="B114" s="125" t="s">
        <v>101</v>
      </c>
      <c r="C114" s="113" t="s">
        <v>156</v>
      </c>
      <c r="D114" s="120">
        <v>0</v>
      </c>
    </row>
    <row r="115" spans="1:5" ht="15.75" thickBot="1" x14ac:dyDescent="0.3">
      <c r="A115" s="121"/>
      <c r="B115" s="239" t="s">
        <v>121</v>
      </c>
      <c r="C115" s="240"/>
      <c r="D115" s="109">
        <f>SUM(D111:D114)</f>
        <v>0</v>
      </c>
    </row>
    <row r="118" spans="1:5" x14ac:dyDescent="0.25">
      <c r="B118" s="241" t="s">
        <v>157</v>
      </c>
      <c r="C118" s="241"/>
      <c r="D118" s="241"/>
    </row>
    <row r="119" spans="1:5" ht="15.75" thickBot="1" x14ac:dyDescent="0.3"/>
    <row r="120" spans="1:5" ht="15.75" thickBot="1" x14ac:dyDescent="0.3">
      <c r="B120" s="103">
        <v>6</v>
      </c>
      <c r="C120" s="129" t="s">
        <v>158</v>
      </c>
      <c r="D120" s="104" t="s">
        <v>113</v>
      </c>
      <c r="E120" s="104" t="s">
        <v>94</v>
      </c>
    </row>
    <row r="121" spans="1:5" ht="15.75" thickBot="1" x14ac:dyDescent="0.3">
      <c r="B121" s="105" t="s">
        <v>95</v>
      </c>
      <c r="C121" s="106" t="s">
        <v>159</v>
      </c>
      <c r="D121" s="130"/>
      <c r="E121" s="107">
        <f>(D115+D105+D74+D62+D20)*D121</f>
        <v>0</v>
      </c>
    </row>
    <row r="122" spans="1:5" ht="15.75" thickBot="1" x14ac:dyDescent="0.3">
      <c r="B122" s="105" t="s">
        <v>97</v>
      </c>
      <c r="C122" s="106" t="s">
        <v>160</v>
      </c>
      <c r="D122" s="130"/>
      <c r="E122" s="107">
        <f>(D115+D105+D74+D62+D20+E121)*D122</f>
        <v>0</v>
      </c>
    </row>
    <row r="123" spans="1:5" ht="15.75" thickBot="1" x14ac:dyDescent="0.3">
      <c r="B123" s="105" t="s">
        <v>99</v>
      </c>
      <c r="C123" s="106" t="s">
        <v>161</v>
      </c>
      <c r="D123" s="130"/>
      <c r="E123" s="108"/>
    </row>
    <row r="124" spans="1:5" ht="15.75" thickBot="1" x14ac:dyDescent="0.3">
      <c r="B124" s="105"/>
      <c r="C124" s="106" t="s">
        <v>162</v>
      </c>
      <c r="D124" s="130"/>
      <c r="E124" s="111">
        <f>D140*0.0365</f>
        <v>0</v>
      </c>
    </row>
    <row r="125" spans="1:5" ht="15.75" thickBot="1" x14ac:dyDescent="0.3">
      <c r="B125" s="105"/>
      <c r="C125" s="106" t="s">
        <v>163</v>
      </c>
      <c r="D125" s="130"/>
      <c r="E125" s="107"/>
    </row>
    <row r="126" spans="1:5" ht="15.75" thickBot="1" x14ac:dyDescent="0.3">
      <c r="B126" s="105"/>
      <c r="C126" s="106" t="s">
        <v>164</v>
      </c>
      <c r="D126" s="130"/>
      <c r="E126" s="107">
        <f>D140*0.05</f>
        <v>0</v>
      </c>
    </row>
    <row r="127" spans="1:5" ht="15.75" thickBot="1" x14ac:dyDescent="0.3">
      <c r="B127" s="239" t="s">
        <v>121</v>
      </c>
      <c r="C127" s="240"/>
      <c r="D127" s="131"/>
      <c r="E127" s="109">
        <f>SUM(E121:E126)</f>
        <v>0</v>
      </c>
    </row>
    <row r="130" spans="2:4" x14ac:dyDescent="0.25">
      <c r="B130" s="241" t="s">
        <v>165</v>
      </c>
      <c r="C130" s="241"/>
      <c r="D130" s="241"/>
    </row>
    <row r="131" spans="2:4" ht="15.75" thickBot="1" x14ac:dyDescent="0.3"/>
    <row r="132" spans="2:4" ht="15.75" thickBot="1" x14ac:dyDescent="0.3">
      <c r="B132" s="103"/>
      <c r="C132" s="104" t="s">
        <v>166</v>
      </c>
      <c r="D132" s="104" t="s">
        <v>94</v>
      </c>
    </row>
    <row r="133" spans="2:4" ht="15.75" thickBot="1" x14ac:dyDescent="0.3">
      <c r="B133" s="132" t="s">
        <v>95</v>
      </c>
      <c r="C133" s="106" t="s">
        <v>92</v>
      </c>
      <c r="D133" s="133">
        <f>D20</f>
        <v>0</v>
      </c>
    </row>
    <row r="134" spans="2:4" ht="15.75" thickBot="1" x14ac:dyDescent="0.3">
      <c r="B134" s="132" t="s">
        <v>97</v>
      </c>
      <c r="C134" s="106" t="s">
        <v>108</v>
      </c>
      <c r="D134" s="133">
        <f>D62</f>
        <v>0</v>
      </c>
    </row>
    <row r="135" spans="2:4" ht="15.75" thickBot="1" x14ac:dyDescent="0.3">
      <c r="B135" s="132" t="s">
        <v>99</v>
      </c>
      <c r="C135" s="106" t="s">
        <v>131</v>
      </c>
      <c r="D135" s="133">
        <f>D74</f>
        <v>0</v>
      </c>
    </row>
    <row r="136" spans="2:4" ht="15.75" thickBot="1" x14ac:dyDescent="0.3">
      <c r="B136" s="132" t="s">
        <v>101</v>
      </c>
      <c r="C136" s="106" t="s">
        <v>134</v>
      </c>
      <c r="D136" s="133">
        <f>D105</f>
        <v>0</v>
      </c>
    </row>
    <row r="137" spans="2:4" ht="15.75" thickBot="1" x14ac:dyDescent="0.3">
      <c r="B137" s="132" t="s">
        <v>103</v>
      </c>
      <c r="C137" s="106" t="s">
        <v>152</v>
      </c>
      <c r="D137" s="133">
        <f>D115</f>
        <v>0</v>
      </c>
    </row>
    <row r="138" spans="2:4" ht="15.75" thickBot="1" x14ac:dyDescent="0.3">
      <c r="B138" s="245" t="s">
        <v>167</v>
      </c>
      <c r="C138" s="246"/>
      <c r="D138" s="133">
        <f>SUM(D133:D137)</f>
        <v>0</v>
      </c>
    </row>
    <row r="139" spans="2:4" ht="15.75" thickBot="1" x14ac:dyDescent="0.3">
      <c r="B139" s="132" t="s">
        <v>105</v>
      </c>
      <c r="C139" s="106" t="s">
        <v>168</v>
      </c>
      <c r="D139" s="133">
        <f>E127</f>
        <v>0</v>
      </c>
    </row>
    <row r="140" spans="2:4" ht="15.75" thickBot="1" x14ac:dyDescent="0.3">
      <c r="B140" s="239" t="s">
        <v>169</v>
      </c>
      <c r="C140" s="240"/>
      <c r="D140" s="134">
        <f>((D138+E121+E122)/0.9135)</f>
        <v>0</v>
      </c>
    </row>
    <row r="141" spans="2:4" ht="15.75" thickBot="1" x14ac:dyDescent="0.3">
      <c r="C141" s="152" t="s">
        <v>170</v>
      </c>
      <c r="D141" s="135">
        <f>D140</f>
        <v>0</v>
      </c>
    </row>
  </sheetData>
  <mergeCells count="32">
    <mergeCell ref="B140:C140"/>
    <mergeCell ref="B108:D108"/>
    <mergeCell ref="B115:C115"/>
    <mergeCell ref="B118:D118"/>
    <mergeCell ref="B127:C127"/>
    <mergeCell ref="B130:D130"/>
    <mergeCell ref="B138:C138"/>
    <mergeCell ref="B105:C105"/>
    <mergeCell ref="B53:C53"/>
    <mergeCell ref="B56:D56"/>
    <mergeCell ref="B62:C62"/>
    <mergeCell ref="B65:D65"/>
    <mergeCell ref="B74:C74"/>
    <mergeCell ref="B78:D78"/>
    <mergeCell ref="B81:D81"/>
    <mergeCell ref="B90:C90"/>
    <mergeCell ref="B93:D93"/>
    <mergeCell ref="B97:C97"/>
    <mergeCell ref="B100:D100"/>
    <mergeCell ref="B76:D76"/>
    <mergeCell ref="B45:D45"/>
    <mergeCell ref="B1:E1"/>
    <mergeCell ref="B2:E2"/>
    <mergeCell ref="B5:E5"/>
    <mergeCell ref="B8:D8"/>
    <mergeCell ref="B10:D10"/>
    <mergeCell ref="B20:C20"/>
    <mergeCell ref="B22:D22"/>
    <mergeCell ref="B24:D24"/>
    <mergeCell ref="B29:C29"/>
    <mergeCell ref="B31:E31"/>
    <mergeCell ref="B42:C42"/>
  </mergeCells>
  <hyperlinks>
    <hyperlink ref="C4" r:id="rId1"/>
  </hyperlinks>
  <pageMargins left="0.511811024" right="0.511811024" top="0.78740157499999996" bottom="0.78740157499999996" header="0.31496062000000002" footer="0.31496062000000002"/>
  <pageSetup paperSize="9" orientation="portrait" horizontalDpi="4294967294" verticalDpi="0" r:id="rId2"/>
  <headerFooter>
    <oddFooter xml:space="preserve">&amp;L&amp;8 1 </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1"/>
  <sheetViews>
    <sheetView showGridLines="0" topLeftCell="A109" workbookViewId="0">
      <selection activeCell="F55" sqref="F55"/>
    </sheetView>
  </sheetViews>
  <sheetFormatPr defaultRowHeight="15" x14ac:dyDescent="0.25"/>
  <cols>
    <col min="1" max="1" width="3.7109375" style="100" customWidth="1"/>
    <col min="2" max="2" width="9.140625" style="100"/>
    <col min="3" max="3" width="92.85546875" style="100" customWidth="1"/>
    <col min="4" max="4" width="18" style="100" customWidth="1"/>
    <col min="5" max="5" width="14.28515625" style="100" customWidth="1"/>
    <col min="6" max="6" width="12.7109375" style="100" customWidth="1"/>
    <col min="7" max="7" width="12" style="100" customWidth="1"/>
    <col min="8" max="8" width="15.140625" style="100" customWidth="1"/>
    <col min="9" max="9" width="10.7109375" style="100" bestFit="1" customWidth="1"/>
    <col min="10" max="16384" width="9.140625" style="100"/>
  </cols>
  <sheetData>
    <row r="1" spans="2:5" x14ac:dyDescent="0.25">
      <c r="B1" s="234" t="s">
        <v>87</v>
      </c>
      <c r="C1" s="234"/>
      <c r="D1" s="234"/>
      <c r="E1" s="234"/>
    </row>
    <row r="2" spans="2:5" x14ac:dyDescent="0.25">
      <c r="B2" s="234" t="s">
        <v>88</v>
      </c>
      <c r="C2" s="234"/>
      <c r="D2" s="234"/>
      <c r="E2" s="234"/>
    </row>
    <row r="3" spans="2:5" x14ac:dyDescent="0.25">
      <c r="B3" s="172"/>
      <c r="C3" s="172" t="s">
        <v>89</v>
      </c>
      <c r="D3" s="172"/>
      <c r="E3" s="172"/>
    </row>
    <row r="4" spans="2:5" x14ac:dyDescent="0.25">
      <c r="B4" s="172"/>
      <c r="C4" s="98" t="s">
        <v>90</v>
      </c>
      <c r="D4" s="172"/>
      <c r="E4" s="172"/>
    </row>
    <row r="5" spans="2:5" x14ac:dyDescent="0.25">
      <c r="B5" s="235" t="s">
        <v>91</v>
      </c>
      <c r="C5" s="235"/>
      <c r="D5" s="235"/>
      <c r="E5" s="235"/>
    </row>
    <row r="6" spans="2:5" x14ac:dyDescent="0.25">
      <c r="B6" s="173"/>
      <c r="C6" s="102"/>
      <c r="D6" s="173"/>
      <c r="E6" s="173"/>
    </row>
    <row r="7" spans="2:5" x14ac:dyDescent="0.25">
      <c r="B7" s="173"/>
      <c r="C7" s="102"/>
      <c r="D7" s="173"/>
      <c r="E7" s="173"/>
    </row>
    <row r="8" spans="2:5" ht="27.75" customHeight="1" x14ac:dyDescent="0.25">
      <c r="B8" s="247" t="s">
        <v>249</v>
      </c>
      <c r="C8" s="248"/>
      <c r="D8" s="248"/>
    </row>
    <row r="9" spans="2:5" x14ac:dyDescent="0.25">
      <c r="C9" s="41"/>
    </row>
    <row r="10" spans="2:5" x14ac:dyDescent="0.25">
      <c r="B10" s="238" t="s">
        <v>92</v>
      </c>
      <c r="C10" s="238"/>
      <c r="D10" s="238"/>
    </row>
    <row r="11" spans="2:5" ht="15.75" thickBot="1" x14ac:dyDescent="0.3"/>
    <row r="12" spans="2:5" ht="15.75" thickBot="1" x14ac:dyDescent="0.3">
      <c r="B12" s="103">
        <v>1</v>
      </c>
      <c r="C12" s="171" t="s">
        <v>93</v>
      </c>
      <c r="D12" s="171" t="s">
        <v>94</v>
      </c>
    </row>
    <row r="13" spans="2:5" ht="15.75" thickBot="1" x14ac:dyDescent="0.3">
      <c r="B13" s="105" t="s">
        <v>95</v>
      </c>
      <c r="C13" s="106" t="s">
        <v>96</v>
      </c>
      <c r="D13" s="107"/>
    </row>
    <row r="14" spans="2:5" ht="15.75" thickBot="1" x14ac:dyDescent="0.3">
      <c r="B14" s="105" t="s">
        <v>97</v>
      </c>
      <c r="C14" s="106" t="s">
        <v>98</v>
      </c>
      <c r="D14" s="107"/>
    </row>
    <row r="15" spans="2:5" ht="15.75" thickBot="1" x14ac:dyDescent="0.3">
      <c r="B15" s="105" t="s">
        <v>99</v>
      </c>
      <c r="C15" s="106" t="s">
        <v>100</v>
      </c>
      <c r="D15" s="108"/>
    </row>
    <row r="16" spans="2:5" ht="15.75" thickBot="1" x14ac:dyDescent="0.3">
      <c r="B16" s="105" t="s">
        <v>101</v>
      </c>
      <c r="C16" s="106" t="s">
        <v>102</v>
      </c>
      <c r="D16" s="108"/>
    </row>
    <row r="17" spans="2:9" ht="15.75" thickBot="1" x14ac:dyDescent="0.3">
      <c r="B17" s="105" t="s">
        <v>103</v>
      </c>
      <c r="C17" s="106" t="s">
        <v>104</v>
      </c>
      <c r="D17" s="108"/>
    </row>
    <row r="18" spans="2:9" ht="15.75" thickBot="1" x14ac:dyDescent="0.3">
      <c r="B18" s="105" t="s">
        <v>105</v>
      </c>
      <c r="C18" s="106" t="s">
        <v>106</v>
      </c>
      <c r="D18" s="108"/>
    </row>
    <row r="19" spans="2:9" ht="15.75" thickBot="1" x14ac:dyDescent="0.3">
      <c r="B19" s="105"/>
      <c r="C19" s="106"/>
      <c r="D19" s="108"/>
    </row>
    <row r="20" spans="2:9" ht="15.75" thickBot="1" x14ac:dyDescent="0.3">
      <c r="B20" s="239" t="s">
        <v>107</v>
      </c>
      <c r="C20" s="240"/>
      <c r="D20" s="109">
        <f>SUM(D13:D19)</f>
        <v>0</v>
      </c>
      <c r="F20" s="110"/>
    </row>
    <row r="22" spans="2:9" x14ac:dyDescent="0.25">
      <c r="B22" s="241" t="s">
        <v>108</v>
      </c>
      <c r="C22" s="241"/>
      <c r="D22" s="241"/>
    </row>
    <row r="23" spans="2:9" x14ac:dyDescent="0.25">
      <c r="B23" s="16"/>
    </row>
    <row r="24" spans="2:9" x14ac:dyDescent="0.25">
      <c r="B24" s="233" t="s">
        <v>109</v>
      </c>
      <c r="C24" s="233"/>
      <c r="D24" s="233"/>
    </row>
    <row r="25" spans="2:9" ht="15.75" thickBot="1" x14ac:dyDescent="0.3"/>
    <row r="26" spans="2:9" ht="15.75" thickBot="1" x14ac:dyDescent="0.3">
      <c r="B26" s="103" t="s">
        <v>110</v>
      </c>
      <c r="C26" s="171" t="s">
        <v>111</v>
      </c>
      <c r="D26" s="171" t="s">
        <v>94</v>
      </c>
    </row>
    <row r="27" spans="2:9" ht="15.75" thickBot="1" x14ac:dyDescent="0.3">
      <c r="B27" s="105" t="s">
        <v>95</v>
      </c>
      <c r="C27" s="106" t="s">
        <v>207</v>
      </c>
      <c r="D27" s="107">
        <f>D20/12</f>
        <v>0</v>
      </c>
    </row>
    <row r="28" spans="2:9" ht="15.75" thickBot="1" x14ac:dyDescent="0.3">
      <c r="B28" s="105" t="s">
        <v>97</v>
      </c>
      <c r="C28" s="106" t="s">
        <v>203</v>
      </c>
      <c r="D28" s="111">
        <f>(D20/3)/12+D27</f>
        <v>0</v>
      </c>
      <c r="H28" s="110"/>
      <c r="I28" s="110"/>
    </row>
    <row r="29" spans="2:9" ht="15.75" thickBot="1" x14ac:dyDescent="0.3">
      <c r="B29" s="239" t="s">
        <v>107</v>
      </c>
      <c r="C29" s="240"/>
      <c r="D29" s="109">
        <f>SUM(D27:D28)</f>
        <v>0</v>
      </c>
      <c r="H29" s="110"/>
    </row>
    <row r="31" spans="2:9" x14ac:dyDescent="0.25">
      <c r="B31" s="242" t="s">
        <v>210</v>
      </c>
      <c r="C31" s="242"/>
      <c r="D31" s="242"/>
      <c r="E31" s="242"/>
    </row>
    <row r="32" spans="2:9" ht="15.75" thickBot="1" x14ac:dyDescent="0.3"/>
    <row r="33" spans="2:8" ht="15.75" thickBot="1" x14ac:dyDescent="0.3">
      <c r="B33" s="103" t="s">
        <v>112</v>
      </c>
      <c r="C33" s="171" t="s">
        <v>211</v>
      </c>
      <c r="D33" s="171" t="s">
        <v>113</v>
      </c>
      <c r="E33" s="171" t="s">
        <v>94</v>
      </c>
    </row>
    <row r="34" spans="2:8" ht="15.75" thickBot="1" x14ac:dyDescent="0.3">
      <c r="B34" s="105" t="s">
        <v>95</v>
      </c>
      <c r="C34" s="106" t="s">
        <v>114</v>
      </c>
      <c r="D34" s="112">
        <v>0.2</v>
      </c>
      <c r="E34" s="107">
        <f t="shared" ref="E34:E41" si="0">($D$20+$D$29)*D34</f>
        <v>0</v>
      </c>
    </row>
    <row r="35" spans="2:8" ht="15.75" thickBot="1" x14ac:dyDescent="0.3">
      <c r="B35" s="105" t="s">
        <v>97</v>
      </c>
      <c r="C35" s="106" t="s">
        <v>115</v>
      </c>
      <c r="D35" s="112">
        <v>2.5000000000000001E-2</v>
      </c>
      <c r="E35" s="107">
        <f t="shared" si="0"/>
        <v>0</v>
      </c>
    </row>
    <row r="36" spans="2:8" ht="15.75" thickBot="1" x14ac:dyDescent="0.3">
      <c r="B36" s="105" t="s">
        <v>99</v>
      </c>
      <c r="C36" s="106" t="s">
        <v>218</v>
      </c>
      <c r="D36" s="167">
        <v>0.03</v>
      </c>
      <c r="E36" s="107">
        <f t="shared" si="0"/>
        <v>0</v>
      </c>
    </row>
    <row r="37" spans="2:8" ht="15.75" thickBot="1" x14ac:dyDescent="0.3">
      <c r="B37" s="105" t="s">
        <v>101</v>
      </c>
      <c r="C37" s="106" t="s">
        <v>221</v>
      </c>
      <c r="D37" s="167">
        <v>1.4999999999999999E-2</v>
      </c>
      <c r="E37" s="107">
        <f t="shared" si="0"/>
        <v>0</v>
      </c>
    </row>
    <row r="38" spans="2:8" ht="15.75" thickBot="1" x14ac:dyDescent="0.3">
      <c r="B38" s="105" t="s">
        <v>103</v>
      </c>
      <c r="C38" s="106" t="s">
        <v>222</v>
      </c>
      <c r="D38" s="167">
        <v>0.01</v>
      </c>
      <c r="E38" s="107">
        <f t="shared" si="0"/>
        <v>0</v>
      </c>
    </row>
    <row r="39" spans="2:8" ht="15.75" thickBot="1" x14ac:dyDescent="0.3">
      <c r="B39" s="105" t="s">
        <v>105</v>
      </c>
      <c r="C39" s="106" t="s">
        <v>116</v>
      </c>
      <c r="D39" s="112">
        <v>6.0000000000000001E-3</v>
      </c>
      <c r="E39" s="107">
        <f t="shared" si="0"/>
        <v>0</v>
      </c>
    </row>
    <row r="40" spans="2:8" ht="15.75" thickBot="1" x14ac:dyDescent="0.3">
      <c r="B40" s="105" t="s">
        <v>117</v>
      </c>
      <c r="C40" s="106" t="s">
        <v>118</v>
      </c>
      <c r="D40" s="112">
        <v>2E-3</v>
      </c>
      <c r="E40" s="107">
        <f t="shared" si="0"/>
        <v>0</v>
      </c>
    </row>
    <row r="41" spans="2:8" ht="15.75" thickBot="1" x14ac:dyDescent="0.3">
      <c r="B41" s="105" t="s">
        <v>119</v>
      </c>
      <c r="C41" s="113" t="s">
        <v>120</v>
      </c>
      <c r="D41" s="112">
        <v>0.08</v>
      </c>
      <c r="E41" s="107">
        <f t="shared" si="0"/>
        <v>0</v>
      </c>
    </row>
    <row r="42" spans="2:8" ht="15.75" thickBot="1" x14ac:dyDescent="0.3">
      <c r="B42" s="239" t="s">
        <v>121</v>
      </c>
      <c r="C42" s="240"/>
      <c r="D42" s="136">
        <f>SUM(D34:D41)</f>
        <v>0.36800000000000005</v>
      </c>
      <c r="E42" s="109">
        <f>SUM(E34:E41)</f>
        <v>0</v>
      </c>
      <c r="H42" s="110"/>
    </row>
    <row r="45" spans="2:8" x14ac:dyDescent="0.25">
      <c r="B45" s="233" t="s">
        <v>122</v>
      </c>
      <c r="C45" s="233"/>
      <c r="D45" s="233"/>
    </row>
    <row r="46" spans="2:8" ht="15.75" thickBot="1" x14ac:dyDescent="0.3"/>
    <row r="47" spans="2:8" ht="15.75" thickBot="1" x14ac:dyDescent="0.3">
      <c r="B47" s="103" t="s">
        <v>123</v>
      </c>
      <c r="C47" s="171" t="s">
        <v>124</v>
      </c>
      <c r="D47" s="171" t="s">
        <v>94</v>
      </c>
    </row>
    <row r="48" spans="2:8" ht="15.75" thickBot="1" x14ac:dyDescent="0.3">
      <c r="B48" s="105" t="s">
        <v>95</v>
      </c>
      <c r="C48" s="114" t="s">
        <v>125</v>
      </c>
      <c r="D48" s="111">
        <f>Beneficios!H5</f>
        <v>0</v>
      </c>
    </row>
    <row r="49" spans="2:4" ht="15.75" thickBot="1" x14ac:dyDescent="0.3">
      <c r="B49" s="105" t="s">
        <v>97</v>
      </c>
      <c r="C49" s="113" t="s">
        <v>126</v>
      </c>
      <c r="D49" s="107">
        <f>Beneficios!H9</f>
        <v>0</v>
      </c>
    </row>
    <row r="50" spans="2:4" ht="15.75" thickBot="1" x14ac:dyDescent="0.3">
      <c r="B50" s="105" t="s">
        <v>99</v>
      </c>
      <c r="C50" s="106" t="s">
        <v>220</v>
      </c>
      <c r="D50" s="107"/>
    </row>
    <row r="51" spans="2:4" ht="15.75" thickBot="1" x14ac:dyDescent="0.3">
      <c r="B51" s="105" t="s">
        <v>101</v>
      </c>
      <c r="C51" s="106" t="s">
        <v>223</v>
      </c>
      <c r="D51" s="164">
        <f>Beneficios!H14</f>
        <v>0</v>
      </c>
    </row>
    <row r="52" spans="2:4" ht="15.75" thickBot="1" x14ac:dyDescent="0.3">
      <c r="B52" s="105" t="s">
        <v>103</v>
      </c>
      <c r="C52" s="106" t="s">
        <v>219</v>
      </c>
      <c r="D52" s="107">
        <v>0</v>
      </c>
    </row>
    <row r="53" spans="2:4" ht="15.75" thickBot="1" x14ac:dyDescent="0.3">
      <c r="B53" s="239" t="s">
        <v>107</v>
      </c>
      <c r="C53" s="240"/>
      <c r="D53" s="109">
        <f>SUM(D48:D52)</f>
        <v>0</v>
      </c>
    </row>
    <row r="56" spans="2:4" x14ac:dyDescent="0.25">
      <c r="B56" s="233" t="s">
        <v>127</v>
      </c>
      <c r="C56" s="233"/>
      <c r="D56" s="233"/>
    </row>
    <row r="57" spans="2:4" ht="15.75" thickBot="1" x14ac:dyDescent="0.3"/>
    <row r="58" spans="2:4" ht="15.75" thickBot="1" x14ac:dyDescent="0.3">
      <c r="B58" s="103">
        <v>2</v>
      </c>
      <c r="C58" s="171" t="s">
        <v>128</v>
      </c>
      <c r="D58" s="171" t="s">
        <v>94</v>
      </c>
    </row>
    <row r="59" spans="2:4" ht="15.75" thickBot="1" x14ac:dyDescent="0.3">
      <c r="B59" s="105" t="s">
        <v>110</v>
      </c>
      <c r="C59" s="106" t="s">
        <v>129</v>
      </c>
      <c r="D59" s="111">
        <f>D29</f>
        <v>0</v>
      </c>
    </row>
    <row r="60" spans="2:4" ht="15.75" thickBot="1" x14ac:dyDescent="0.3">
      <c r="B60" s="105" t="s">
        <v>112</v>
      </c>
      <c r="C60" s="106" t="s">
        <v>208</v>
      </c>
      <c r="D60" s="111">
        <f>E42</f>
        <v>0</v>
      </c>
    </row>
    <row r="61" spans="2:4" ht="15.75" thickBot="1" x14ac:dyDescent="0.3">
      <c r="B61" s="105" t="s">
        <v>123</v>
      </c>
      <c r="C61" s="106" t="s">
        <v>130</v>
      </c>
      <c r="D61" s="107"/>
    </row>
    <row r="62" spans="2:4" ht="15.75" thickBot="1" x14ac:dyDescent="0.3">
      <c r="B62" s="239" t="s">
        <v>107</v>
      </c>
      <c r="C62" s="240"/>
      <c r="D62" s="109">
        <f>SUM(D59:D61)</f>
        <v>0</v>
      </c>
    </row>
    <row r="63" spans="2:4" x14ac:dyDescent="0.25">
      <c r="B63" s="4"/>
    </row>
    <row r="65" spans="2:9" x14ac:dyDescent="0.25">
      <c r="B65" s="241" t="s">
        <v>131</v>
      </c>
      <c r="C65" s="241"/>
      <c r="D65" s="241"/>
    </row>
    <row r="66" spans="2:9" ht="15.75" thickBot="1" x14ac:dyDescent="0.3"/>
    <row r="67" spans="2:9" ht="15.75" thickBot="1" x14ac:dyDescent="0.3">
      <c r="B67" s="103">
        <v>3</v>
      </c>
      <c r="C67" s="171" t="s">
        <v>132</v>
      </c>
      <c r="D67" s="171" t="s">
        <v>94</v>
      </c>
    </row>
    <row r="68" spans="2:9" ht="30.75" thickBot="1" x14ac:dyDescent="0.3">
      <c r="B68" s="105" t="s">
        <v>95</v>
      </c>
      <c r="C68" s="115" t="s">
        <v>241</v>
      </c>
      <c r="D68" s="116">
        <f>(D20+D29+E41)/12</f>
        <v>0</v>
      </c>
      <c r="E68" s="117"/>
    </row>
    <row r="69" spans="2:9" ht="15.75" thickBot="1" x14ac:dyDescent="0.3">
      <c r="B69" s="105" t="s">
        <v>97</v>
      </c>
      <c r="C69" s="118" t="s">
        <v>133</v>
      </c>
      <c r="D69" s="116">
        <f>D68*0.08</f>
        <v>0</v>
      </c>
      <c r="E69" s="117"/>
    </row>
    <row r="70" spans="2:9" ht="15.75" thickBot="1" x14ac:dyDescent="0.3">
      <c r="B70" s="105" t="s">
        <v>99</v>
      </c>
      <c r="C70" s="118" t="s">
        <v>215</v>
      </c>
      <c r="D70" s="158">
        <f>D69*0.4</f>
        <v>0</v>
      </c>
      <c r="E70" s="117"/>
    </row>
    <row r="71" spans="2:9" ht="45.75" thickBot="1" x14ac:dyDescent="0.3">
      <c r="B71" s="105" t="s">
        <v>101</v>
      </c>
      <c r="C71" s="115" t="s">
        <v>240</v>
      </c>
      <c r="D71" s="119">
        <f>(((D20+D29+E42)/30)*7)/12</f>
        <v>0</v>
      </c>
      <c r="E71" s="117"/>
    </row>
    <row r="72" spans="2:9" ht="30.75" thickBot="1" x14ac:dyDescent="0.3">
      <c r="B72" s="105" t="s">
        <v>103</v>
      </c>
      <c r="C72" s="118" t="s">
        <v>209</v>
      </c>
      <c r="D72" s="116">
        <f>D71*0.368</f>
        <v>0</v>
      </c>
      <c r="E72" s="117"/>
    </row>
    <row r="73" spans="2:9" ht="31.5" customHeight="1" thickBot="1" x14ac:dyDescent="0.3">
      <c r="B73" s="105" t="s">
        <v>105</v>
      </c>
      <c r="C73" s="118" t="s">
        <v>212</v>
      </c>
      <c r="D73" s="120">
        <f>((D71*0.08))*0.5</f>
        <v>0</v>
      </c>
      <c r="E73" s="117"/>
      <c r="G73" s="110"/>
      <c r="H73" s="110"/>
      <c r="I73" s="110"/>
    </row>
    <row r="74" spans="2:9" ht="15.75" thickBot="1" x14ac:dyDescent="0.3">
      <c r="B74" s="239" t="s">
        <v>107</v>
      </c>
      <c r="C74" s="240"/>
      <c r="D74" s="109">
        <f>SUM(D68:D73)</f>
        <v>0</v>
      </c>
      <c r="E74" s="110"/>
      <c r="H74" s="110"/>
      <c r="I74" s="110"/>
    </row>
    <row r="75" spans="2:9" x14ac:dyDescent="0.25">
      <c r="E75" s="110"/>
      <c r="H75" s="110"/>
      <c r="I75" s="110"/>
    </row>
    <row r="76" spans="2:9" ht="78" customHeight="1" x14ac:dyDescent="0.25">
      <c r="B76" s="243" t="s">
        <v>246</v>
      </c>
      <c r="C76" s="244"/>
      <c r="D76" s="244"/>
      <c r="E76" s="110"/>
      <c r="H76" s="110"/>
      <c r="I76" s="110"/>
    </row>
    <row r="77" spans="2:9" x14ac:dyDescent="0.25">
      <c r="E77" s="110"/>
    </row>
    <row r="78" spans="2:9" x14ac:dyDescent="0.25">
      <c r="B78" s="241" t="s">
        <v>134</v>
      </c>
      <c r="C78" s="241"/>
      <c r="D78" s="241"/>
    </row>
    <row r="79" spans="2:9" x14ac:dyDescent="0.25">
      <c r="B79" s="121"/>
      <c r="C79" s="121"/>
      <c r="D79" s="121"/>
    </row>
    <row r="80" spans="2:9" x14ac:dyDescent="0.25">
      <c r="B80" s="121"/>
      <c r="C80" s="121"/>
      <c r="D80" s="121"/>
      <c r="H80" s="110"/>
      <c r="I80" s="110"/>
    </row>
    <row r="81" spans="2:8" x14ac:dyDescent="0.25">
      <c r="B81" s="233" t="s">
        <v>135</v>
      </c>
      <c r="C81" s="233"/>
      <c r="D81" s="233"/>
    </row>
    <row r="82" spans="2:8" ht="15.75" thickBot="1" x14ac:dyDescent="0.3">
      <c r="B82" s="122"/>
      <c r="C82" s="121"/>
      <c r="D82" s="121"/>
      <c r="H82" s="110"/>
    </row>
    <row r="83" spans="2:8" ht="15.75" thickBot="1" x14ac:dyDescent="0.3">
      <c r="B83" s="123" t="s">
        <v>136</v>
      </c>
      <c r="C83" s="124" t="s">
        <v>137</v>
      </c>
      <c r="D83" s="124" t="s">
        <v>94</v>
      </c>
    </row>
    <row r="84" spans="2:8" ht="15.75" thickBot="1" x14ac:dyDescent="0.3">
      <c r="B84" s="125" t="s">
        <v>95</v>
      </c>
      <c r="C84" s="113" t="s">
        <v>138</v>
      </c>
      <c r="D84" s="120">
        <f>(((D20/12)/12)*2)+(((D20/3)/12)/12)</f>
        <v>0</v>
      </c>
    </row>
    <row r="85" spans="2:8" ht="15.75" thickBot="1" x14ac:dyDescent="0.3">
      <c r="B85" s="125" t="s">
        <v>97</v>
      </c>
      <c r="C85" s="113" t="s">
        <v>139</v>
      </c>
      <c r="D85" s="120"/>
      <c r="E85" s="110"/>
    </row>
    <row r="86" spans="2:8" ht="15.75" thickBot="1" x14ac:dyDescent="0.3">
      <c r="B86" s="125" t="s">
        <v>99</v>
      </c>
      <c r="C86" s="113" t="s">
        <v>140</v>
      </c>
      <c r="D86" s="120"/>
      <c r="E86" s="110"/>
    </row>
    <row r="87" spans="2:8" ht="15.75" thickBot="1" x14ac:dyDescent="0.3">
      <c r="B87" s="125" t="s">
        <v>101</v>
      </c>
      <c r="C87" s="113" t="s">
        <v>141</v>
      </c>
      <c r="D87" s="120"/>
      <c r="E87" s="110"/>
    </row>
    <row r="88" spans="2:8" ht="15.75" thickBot="1" x14ac:dyDescent="0.3">
      <c r="B88" s="125" t="s">
        <v>103</v>
      </c>
      <c r="C88" s="113" t="s">
        <v>142</v>
      </c>
      <c r="D88" s="120"/>
      <c r="E88" s="110"/>
    </row>
    <row r="89" spans="2:8" ht="15.75" thickBot="1" x14ac:dyDescent="0.3">
      <c r="B89" s="125" t="s">
        <v>105</v>
      </c>
      <c r="C89" s="113" t="s">
        <v>143</v>
      </c>
      <c r="D89" s="120"/>
    </row>
    <row r="90" spans="2:8" ht="15.75" thickBot="1" x14ac:dyDescent="0.3">
      <c r="B90" s="239" t="s">
        <v>121</v>
      </c>
      <c r="C90" s="240"/>
      <c r="D90" s="109">
        <f>SUM(D84:D89)</f>
        <v>0</v>
      </c>
    </row>
    <row r="91" spans="2:8" x14ac:dyDescent="0.25">
      <c r="B91" s="121"/>
      <c r="C91" s="121"/>
      <c r="D91" s="121"/>
    </row>
    <row r="92" spans="2:8" x14ac:dyDescent="0.25">
      <c r="B92" s="121"/>
      <c r="C92" s="121"/>
      <c r="D92" s="121"/>
    </row>
    <row r="93" spans="2:8" x14ac:dyDescent="0.25">
      <c r="B93" s="233" t="s">
        <v>144</v>
      </c>
      <c r="C93" s="233"/>
      <c r="D93" s="233"/>
    </row>
    <row r="94" spans="2:8" ht="15.75" thickBot="1" x14ac:dyDescent="0.3">
      <c r="B94" s="122"/>
      <c r="C94" s="121"/>
      <c r="D94" s="121"/>
    </row>
    <row r="95" spans="2:8" ht="15.75" thickBot="1" x14ac:dyDescent="0.3">
      <c r="B95" s="123" t="s">
        <v>145</v>
      </c>
      <c r="C95" s="124" t="s">
        <v>146</v>
      </c>
      <c r="D95" s="124" t="s">
        <v>94</v>
      </c>
    </row>
    <row r="96" spans="2:8" ht="15.75" thickBot="1" x14ac:dyDescent="0.3">
      <c r="B96" s="125" t="s">
        <v>95</v>
      </c>
      <c r="C96" s="113" t="s">
        <v>147</v>
      </c>
      <c r="D96" s="126"/>
    </row>
    <row r="97" spans="1:4" ht="15.75" thickBot="1" x14ac:dyDescent="0.3">
      <c r="B97" s="239" t="s">
        <v>107</v>
      </c>
      <c r="C97" s="240"/>
      <c r="D97" s="109">
        <f>SUM(D96)</f>
        <v>0</v>
      </c>
    </row>
    <row r="98" spans="1:4" x14ac:dyDescent="0.25">
      <c r="B98" s="121"/>
      <c r="C98" s="121"/>
      <c r="D98" s="121"/>
    </row>
    <row r="99" spans="1:4" x14ac:dyDescent="0.25">
      <c r="B99" s="121"/>
      <c r="C99" s="121"/>
      <c r="D99" s="121"/>
    </row>
    <row r="100" spans="1:4" x14ac:dyDescent="0.25">
      <c r="B100" s="233" t="s">
        <v>148</v>
      </c>
      <c r="C100" s="233"/>
      <c r="D100" s="233"/>
    </row>
    <row r="101" spans="1:4" ht="15.75" thickBot="1" x14ac:dyDescent="0.3">
      <c r="B101" s="122"/>
      <c r="C101" s="121"/>
      <c r="D101" s="121"/>
    </row>
    <row r="102" spans="1:4" ht="15.75" thickBot="1" x14ac:dyDescent="0.3">
      <c r="B102" s="123">
        <v>4</v>
      </c>
      <c r="C102" s="124" t="s">
        <v>149</v>
      </c>
      <c r="D102" s="124" t="s">
        <v>94</v>
      </c>
    </row>
    <row r="103" spans="1:4" ht="15.75" thickBot="1" x14ac:dyDescent="0.3">
      <c r="B103" s="125" t="s">
        <v>136</v>
      </c>
      <c r="C103" s="113" t="s">
        <v>150</v>
      </c>
      <c r="D103" s="120">
        <f>D90</f>
        <v>0</v>
      </c>
    </row>
    <row r="104" spans="1:4" ht="15.75" thickBot="1" x14ac:dyDescent="0.3">
      <c r="B104" s="125" t="s">
        <v>145</v>
      </c>
      <c r="C104" s="99" t="s">
        <v>151</v>
      </c>
      <c r="D104" s="127">
        <f>D97</f>
        <v>0</v>
      </c>
    </row>
    <row r="105" spans="1:4" ht="15.75" thickBot="1" x14ac:dyDescent="0.3">
      <c r="B105" s="239" t="s">
        <v>107</v>
      </c>
      <c r="C105" s="240"/>
      <c r="D105" s="109">
        <f>SUM(D103:D104)</f>
        <v>0</v>
      </c>
    </row>
    <row r="108" spans="1:4" x14ac:dyDescent="0.25">
      <c r="B108" s="241" t="s">
        <v>152</v>
      </c>
      <c r="C108" s="241"/>
      <c r="D108" s="241"/>
    </row>
    <row r="109" spans="1:4" ht="15.75" thickBot="1" x14ac:dyDescent="0.3"/>
    <row r="110" spans="1:4" ht="15.75" thickBot="1" x14ac:dyDescent="0.3">
      <c r="A110" s="121"/>
      <c r="B110" s="123">
        <v>5</v>
      </c>
      <c r="C110" s="128" t="s">
        <v>153</v>
      </c>
      <c r="D110" s="124" t="s">
        <v>94</v>
      </c>
    </row>
    <row r="111" spans="1:4" ht="15.75" thickBot="1" x14ac:dyDescent="0.3">
      <c r="A111" s="121"/>
      <c r="B111" s="125" t="s">
        <v>95</v>
      </c>
      <c r="C111" s="113" t="s">
        <v>154</v>
      </c>
      <c r="D111" s="120">
        <f>'2. ROÇADOR - MAT.'!H11</f>
        <v>0</v>
      </c>
    </row>
    <row r="112" spans="1:4" ht="15.75" thickBot="1" x14ac:dyDescent="0.3">
      <c r="A112" s="121"/>
      <c r="B112" s="125" t="s">
        <v>97</v>
      </c>
      <c r="C112" s="113" t="s">
        <v>171</v>
      </c>
      <c r="D112" s="120">
        <f>'2. ROÇADOR - MAT.'!H25</f>
        <v>0</v>
      </c>
    </row>
    <row r="113" spans="1:5" ht="15.75" thickBot="1" x14ac:dyDescent="0.3">
      <c r="A113" s="121"/>
      <c r="B113" s="125" t="s">
        <v>99</v>
      </c>
      <c r="C113" s="113" t="s">
        <v>155</v>
      </c>
      <c r="D113" s="120"/>
    </row>
    <row r="114" spans="1:5" ht="15.75" thickBot="1" x14ac:dyDescent="0.3">
      <c r="A114" s="121"/>
      <c r="B114" s="125" t="s">
        <v>101</v>
      </c>
      <c r="C114" s="113" t="s">
        <v>156</v>
      </c>
      <c r="D114" s="120">
        <f>'2. ROÇADOR - MAT.'!M34</f>
        <v>0</v>
      </c>
    </row>
    <row r="115" spans="1:5" ht="15.75" thickBot="1" x14ac:dyDescent="0.3">
      <c r="A115" s="121"/>
      <c r="B115" s="239" t="s">
        <v>121</v>
      </c>
      <c r="C115" s="240"/>
      <c r="D115" s="109">
        <f>SUM(D111:D114)</f>
        <v>0</v>
      </c>
    </row>
    <row r="118" spans="1:5" x14ac:dyDescent="0.25">
      <c r="B118" s="241" t="s">
        <v>157</v>
      </c>
      <c r="C118" s="241"/>
      <c r="D118" s="241"/>
    </row>
    <row r="119" spans="1:5" ht="15.75" thickBot="1" x14ac:dyDescent="0.3"/>
    <row r="120" spans="1:5" ht="15.75" thickBot="1" x14ac:dyDescent="0.3">
      <c r="B120" s="103">
        <v>6</v>
      </c>
      <c r="C120" s="129" t="s">
        <v>158</v>
      </c>
      <c r="D120" s="171" t="s">
        <v>113</v>
      </c>
      <c r="E120" s="171" t="s">
        <v>94</v>
      </c>
    </row>
    <row r="121" spans="1:5" ht="15.75" thickBot="1" x14ac:dyDescent="0.3">
      <c r="B121" s="105" t="s">
        <v>95</v>
      </c>
      <c r="C121" s="106" t="s">
        <v>159</v>
      </c>
      <c r="D121" s="130"/>
      <c r="E121" s="107">
        <f>(D115+D105+D74+D62+D20)*D121</f>
        <v>0</v>
      </c>
    </row>
    <row r="122" spans="1:5" ht="15.75" thickBot="1" x14ac:dyDescent="0.3">
      <c r="B122" s="105" t="s">
        <v>97</v>
      </c>
      <c r="C122" s="106" t="s">
        <v>160</v>
      </c>
      <c r="D122" s="130"/>
      <c r="E122" s="107">
        <f>(D115+D105+D74+D62+D20+E121)*D122</f>
        <v>0</v>
      </c>
    </row>
    <row r="123" spans="1:5" ht="15.75" thickBot="1" x14ac:dyDescent="0.3">
      <c r="B123" s="105" t="s">
        <v>99</v>
      </c>
      <c r="C123" s="106" t="s">
        <v>161</v>
      </c>
      <c r="D123" s="130"/>
      <c r="E123" s="108"/>
    </row>
    <row r="124" spans="1:5" ht="15.75" thickBot="1" x14ac:dyDescent="0.3">
      <c r="B124" s="105"/>
      <c r="C124" s="106" t="s">
        <v>162</v>
      </c>
      <c r="D124" s="130"/>
      <c r="E124" s="111">
        <f>D140*0.0365</f>
        <v>0</v>
      </c>
    </row>
    <row r="125" spans="1:5" ht="15.75" thickBot="1" x14ac:dyDescent="0.3">
      <c r="B125" s="105"/>
      <c r="C125" s="106" t="s">
        <v>163</v>
      </c>
      <c r="D125" s="130"/>
      <c r="E125" s="107"/>
    </row>
    <row r="126" spans="1:5" ht="15.75" thickBot="1" x14ac:dyDescent="0.3">
      <c r="B126" s="105"/>
      <c r="C126" s="106" t="s">
        <v>164</v>
      </c>
      <c r="D126" s="130"/>
      <c r="E126" s="107">
        <f>D140*0.05</f>
        <v>0</v>
      </c>
    </row>
    <row r="127" spans="1:5" ht="15.75" thickBot="1" x14ac:dyDescent="0.3">
      <c r="B127" s="239" t="s">
        <v>121</v>
      </c>
      <c r="C127" s="240"/>
      <c r="D127" s="131"/>
      <c r="E127" s="109">
        <f>SUM(E121:E126)</f>
        <v>0</v>
      </c>
    </row>
    <row r="130" spans="2:4" x14ac:dyDescent="0.25">
      <c r="B130" s="241" t="s">
        <v>165</v>
      </c>
      <c r="C130" s="241"/>
      <c r="D130" s="241"/>
    </row>
    <row r="131" spans="2:4" ht="15.75" thickBot="1" x14ac:dyDescent="0.3"/>
    <row r="132" spans="2:4" ht="15.75" thickBot="1" x14ac:dyDescent="0.3">
      <c r="B132" s="103"/>
      <c r="C132" s="171" t="s">
        <v>166</v>
      </c>
      <c r="D132" s="171" t="s">
        <v>94</v>
      </c>
    </row>
    <row r="133" spans="2:4" ht="15.75" thickBot="1" x14ac:dyDescent="0.3">
      <c r="B133" s="132" t="s">
        <v>95</v>
      </c>
      <c r="C133" s="106" t="s">
        <v>92</v>
      </c>
      <c r="D133" s="133">
        <f>D20</f>
        <v>0</v>
      </c>
    </row>
    <row r="134" spans="2:4" ht="15.75" thickBot="1" x14ac:dyDescent="0.3">
      <c r="B134" s="132" t="s">
        <v>97</v>
      </c>
      <c r="C134" s="106" t="s">
        <v>108</v>
      </c>
      <c r="D134" s="133">
        <f>D62</f>
        <v>0</v>
      </c>
    </row>
    <row r="135" spans="2:4" ht="15.75" thickBot="1" x14ac:dyDescent="0.3">
      <c r="B135" s="132" t="s">
        <v>99</v>
      </c>
      <c r="C135" s="106" t="s">
        <v>131</v>
      </c>
      <c r="D135" s="133">
        <f>D74</f>
        <v>0</v>
      </c>
    </row>
    <row r="136" spans="2:4" ht="15.75" thickBot="1" x14ac:dyDescent="0.3">
      <c r="B136" s="132" t="s">
        <v>101</v>
      </c>
      <c r="C136" s="106" t="s">
        <v>134</v>
      </c>
      <c r="D136" s="133">
        <f>D105</f>
        <v>0</v>
      </c>
    </row>
    <row r="137" spans="2:4" ht="15.75" thickBot="1" x14ac:dyDescent="0.3">
      <c r="B137" s="132" t="s">
        <v>103</v>
      </c>
      <c r="C137" s="106" t="s">
        <v>152</v>
      </c>
      <c r="D137" s="133">
        <f>D115</f>
        <v>0</v>
      </c>
    </row>
    <row r="138" spans="2:4" ht="15.75" thickBot="1" x14ac:dyDescent="0.3">
      <c r="B138" s="245" t="s">
        <v>167</v>
      </c>
      <c r="C138" s="246"/>
      <c r="D138" s="133">
        <f>SUM(D133:D137)</f>
        <v>0</v>
      </c>
    </row>
    <row r="139" spans="2:4" ht="15.75" thickBot="1" x14ac:dyDescent="0.3">
      <c r="B139" s="132" t="s">
        <v>105</v>
      </c>
      <c r="C139" s="106" t="s">
        <v>168</v>
      </c>
      <c r="D139" s="133">
        <f>E127</f>
        <v>0</v>
      </c>
    </row>
    <row r="140" spans="2:4" ht="15.75" thickBot="1" x14ac:dyDescent="0.3">
      <c r="B140" s="239" t="s">
        <v>169</v>
      </c>
      <c r="C140" s="240"/>
      <c r="D140" s="134">
        <f>((D138+E121+E122)/0.9135)</f>
        <v>0</v>
      </c>
    </row>
    <row r="141" spans="2:4" ht="15.75" thickBot="1" x14ac:dyDescent="0.3">
      <c r="C141" s="170" t="s">
        <v>170</v>
      </c>
      <c r="D141" s="135">
        <f>D140</f>
        <v>0</v>
      </c>
    </row>
  </sheetData>
  <mergeCells count="32">
    <mergeCell ref="B140:C140"/>
    <mergeCell ref="B108:D108"/>
    <mergeCell ref="B115:C115"/>
    <mergeCell ref="B118:D118"/>
    <mergeCell ref="B127:C127"/>
    <mergeCell ref="B130:D130"/>
    <mergeCell ref="B138:C138"/>
    <mergeCell ref="B105:C105"/>
    <mergeCell ref="B53:C53"/>
    <mergeCell ref="B56:D56"/>
    <mergeCell ref="B62:C62"/>
    <mergeCell ref="B65:D65"/>
    <mergeCell ref="B74:C74"/>
    <mergeCell ref="B78:D78"/>
    <mergeCell ref="B76:D76"/>
    <mergeCell ref="B81:D81"/>
    <mergeCell ref="B90:C90"/>
    <mergeCell ref="B93:D93"/>
    <mergeCell ref="B97:C97"/>
    <mergeCell ref="B100:D100"/>
    <mergeCell ref="B45:D45"/>
    <mergeCell ref="B1:E1"/>
    <mergeCell ref="B2:E2"/>
    <mergeCell ref="B5:E5"/>
    <mergeCell ref="B8:D8"/>
    <mergeCell ref="B10:D10"/>
    <mergeCell ref="B20:C20"/>
    <mergeCell ref="B22:D22"/>
    <mergeCell ref="B24:D24"/>
    <mergeCell ref="B29:C29"/>
    <mergeCell ref="B31:E31"/>
    <mergeCell ref="B42:C42"/>
  </mergeCells>
  <hyperlinks>
    <hyperlink ref="C4" r:id="rId1"/>
  </hyperlinks>
  <pageMargins left="0.511811024" right="0.511811024" top="0.78740157499999996" bottom="0.78740157499999996" header="0.31496062000000002" footer="0.31496062000000002"/>
  <pageSetup paperSize="9" orientation="portrait" horizontalDpi="4294967294" verticalDpi="0"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23"/>
  <sheetViews>
    <sheetView showGridLines="0" workbookViewId="0">
      <selection activeCell="D18" sqref="D18"/>
    </sheetView>
  </sheetViews>
  <sheetFormatPr defaultRowHeight="15" x14ac:dyDescent="0.25"/>
  <cols>
    <col min="1" max="1" width="3" customWidth="1"/>
    <col min="2" max="2" width="39" customWidth="1"/>
    <col min="3" max="3" width="12.5703125" customWidth="1"/>
    <col min="4" max="4" width="12.85546875" style="144" bestFit="1" customWidth="1"/>
    <col min="5" max="5" width="15.7109375" style="144" bestFit="1" customWidth="1"/>
    <col min="6" max="7" width="9.140625" style="144"/>
    <col min="8" max="8" width="12.42578125" bestFit="1" customWidth="1"/>
  </cols>
  <sheetData>
    <row r="2" spans="2:8" x14ac:dyDescent="0.25">
      <c r="B2" s="249" t="s">
        <v>172</v>
      </c>
      <c r="C2" s="249"/>
      <c r="D2" s="249"/>
      <c r="E2" s="249"/>
      <c r="F2" s="249"/>
      <c r="G2" s="249"/>
      <c r="H2" s="249"/>
    </row>
    <row r="3" spans="2:8" x14ac:dyDescent="0.25">
      <c r="B3" s="137" t="s">
        <v>173</v>
      </c>
      <c r="C3" s="137" t="s">
        <v>174</v>
      </c>
      <c r="D3" s="138" t="s">
        <v>175</v>
      </c>
      <c r="E3" s="138" t="s">
        <v>176</v>
      </c>
      <c r="F3" s="138" t="s">
        <v>107</v>
      </c>
      <c r="G3" s="138" t="s">
        <v>177</v>
      </c>
      <c r="H3" s="137" t="s">
        <v>178</v>
      </c>
    </row>
    <row r="4" spans="2:8" x14ac:dyDescent="0.25">
      <c r="B4" s="139" t="s">
        <v>229</v>
      </c>
      <c r="C4" s="140"/>
      <c r="D4" s="178"/>
      <c r="E4" s="141">
        <v>26</v>
      </c>
      <c r="F4" s="141">
        <f t="shared" ref="F4" si="0">(D4*E4)*2</f>
        <v>0</v>
      </c>
      <c r="G4" s="142">
        <f t="shared" ref="G4:G5" si="1">C4*6%</f>
        <v>0</v>
      </c>
      <c r="H4" s="140">
        <f>F4-G4</f>
        <v>0</v>
      </c>
    </row>
    <row r="5" spans="2:8" x14ac:dyDescent="0.25">
      <c r="B5" s="10" t="s">
        <v>236</v>
      </c>
      <c r="C5" s="140"/>
      <c r="D5" s="178"/>
      <c r="E5" s="141">
        <v>26</v>
      </c>
      <c r="F5" s="141">
        <f>(D5*E5)*2</f>
        <v>0</v>
      </c>
      <c r="G5" s="142">
        <f t="shared" si="1"/>
        <v>0</v>
      </c>
      <c r="H5" s="140">
        <f>F5-G5</f>
        <v>0</v>
      </c>
    </row>
    <row r="7" spans="2:8" x14ac:dyDescent="0.25">
      <c r="B7" s="249" t="s">
        <v>202</v>
      </c>
      <c r="C7" s="249"/>
      <c r="D7" s="249"/>
      <c r="E7" s="249"/>
      <c r="F7" s="249"/>
      <c r="G7" s="249"/>
      <c r="H7" s="249"/>
    </row>
    <row r="8" spans="2:8" x14ac:dyDescent="0.25">
      <c r="B8" s="250" t="s">
        <v>173</v>
      </c>
      <c r="C8" s="251"/>
      <c r="D8" s="138" t="s">
        <v>175</v>
      </c>
      <c r="E8" s="138" t="s">
        <v>176</v>
      </c>
      <c r="F8" s="138" t="s">
        <v>107</v>
      </c>
      <c r="G8" s="138" t="s">
        <v>177</v>
      </c>
      <c r="H8" s="137" t="s">
        <v>178</v>
      </c>
    </row>
    <row r="9" spans="2:8" x14ac:dyDescent="0.25">
      <c r="B9" s="252" t="s">
        <v>236</v>
      </c>
      <c r="C9" s="253"/>
      <c r="D9" s="177"/>
      <c r="E9" s="141">
        <v>22</v>
      </c>
      <c r="F9" s="141">
        <f t="shared" ref="F9" si="2">(D9*E9)</f>
        <v>0</v>
      </c>
      <c r="G9" s="142">
        <f t="shared" ref="G9" si="3">F9*0.1</f>
        <v>0</v>
      </c>
      <c r="H9" s="140">
        <f>F9-G9</f>
        <v>0</v>
      </c>
    </row>
    <row r="10" spans="2:8" x14ac:dyDescent="0.25">
      <c r="B10" s="252" t="s">
        <v>229</v>
      </c>
      <c r="C10" s="253"/>
      <c r="D10" s="177"/>
      <c r="E10" s="141">
        <v>22</v>
      </c>
      <c r="F10" s="141">
        <f>(D10*E10)</f>
        <v>0</v>
      </c>
      <c r="G10" s="142">
        <f>F10*0.1</f>
        <v>0</v>
      </c>
      <c r="H10" s="140">
        <f>F10-G10</f>
        <v>0</v>
      </c>
    </row>
    <row r="11" spans="2:8" x14ac:dyDescent="0.25">
      <c r="B11" s="159"/>
      <c r="C11" s="159"/>
      <c r="D11" s="160"/>
      <c r="E11" s="161"/>
      <c r="F11" s="161"/>
      <c r="G11" s="162"/>
      <c r="H11" s="163"/>
    </row>
    <row r="12" spans="2:8" x14ac:dyDescent="0.25">
      <c r="B12" s="249" t="s">
        <v>224</v>
      </c>
      <c r="C12" s="249"/>
      <c r="D12" s="249"/>
      <c r="E12" s="249"/>
      <c r="F12" s="249"/>
      <c r="G12" s="249"/>
      <c r="H12" s="249"/>
    </row>
    <row r="13" spans="2:8" x14ac:dyDescent="0.25">
      <c r="B13" s="250" t="s">
        <v>173</v>
      </c>
      <c r="C13" s="251"/>
      <c r="D13" s="153" t="s">
        <v>217</v>
      </c>
      <c r="E13" s="153" t="s">
        <v>179</v>
      </c>
      <c r="F13" s="153" t="s">
        <v>107</v>
      </c>
      <c r="G13" s="153" t="s">
        <v>177</v>
      </c>
      <c r="H13" s="137" t="s">
        <v>178</v>
      </c>
    </row>
    <row r="14" spans="2:8" x14ac:dyDescent="0.25">
      <c r="B14" s="255" t="s">
        <v>180</v>
      </c>
      <c r="C14" s="256"/>
      <c r="D14" s="143"/>
      <c r="E14" s="141">
        <v>1</v>
      </c>
      <c r="F14" s="143">
        <f>(D14*E14)</f>
        <v>0</v>
      </c>
      <c r="G14" s="142">
        <v>0</v>
      </c>
      <c r="H14" s="140">
        <f>F14-G14</f>
        <v>0</v>
      </c>
    </row>
    <row r="16" spans="2:8" x14ac:dyDescent="0.25">
      <c r="B16" s="249" t="s">
        <v>216</v>
      </c>
      <c r="C16" s="249"/>
      <c r="D16" s="249"/>
      <c r="E16" s="249"/>
      <c r="F16" s="249"/>
      <c r="G16" s="249"/>
      <c r="H16" s="249"/>
    </row>
    <row r="17" spans="2:8" x14ac:dyDescent="0.25">
      <c r="B17" s="250" t="s">
        <v>173</v>
      </c>
      <c r="C17" s="251"/>
      <c r="D17" s="138" t="s">
        <v>175</v>
      </c>
      <c r="E17" s="138" t="s">
        <v>179</v>
      </c>
      <c r="F17" s="138" t="s">
        <v>107</v>
      </c>
      <c r="G17" s="138" t="s">
        <v>177</v>
      </c>
      <c r="H17" s="137" t="s">
        <v>178</v>
      </c>
    </row>
    <row r="18" spans="2:8" x14ac:dyDescent="0.25">
      <c r="B18" s="255" t="s">
        <v>180</v>
      </c>
      <c r="C18" s="256"/>
      <c r="D18" s="143"/>
      <c r="E18" s="141">
        <v>1</v>
      </c>
      <c r="F18" s="143">
        <f>(D18*E18)</f>
        <v>0</v>
      </c>
      <c r="G18" s="142">
        <v>0</v>
      </c>
      <c r="H18" s="140">
        <f>F18-G18</f>
        <v>0</v>
      </c>
    </row>
    <row r="20" spans="2:8" x14ac:dyDescent="0.25">
      <c r="B20" s="100" t="s">
        <v>225</v>
      </c>
    </row>
    <row r="21" spans="2:8" ht="45.75" customHeight="1" x14ac:dyDescent="0.25">
      <c r="B21" s="254" t="s">
        <v>237</v>
      </c>
      <c r="C21" s="254"/>
      <c r="D21" s="254"/>
      <c r="E21" s="254"/>
      <c r="F21" s="254"/>
      <c r="G21" s="254"/>
      <c r="H21" s="254"/>
    </row>
    <row r="22" spans="2:8" x14ac:dyDescent="0.25">
      <c r="B22" t="s">
        <v>234</v>
      </c>
    </row>
    <row r="23" spans="2:8" x14ac:dyDescent="0.25">
      <c r="B23" t="s">
        <v>235</v>
      </c>
    </row>
  </sheetData>
  <mergeCells count="12">
    <mergeCell ref="B2:H2"/>
    <mergeCell ref="B7:H7"/>
    <mergeCell ref="B8:C8"/>
    <mergeCell ref="B9:C9"/>
    <mergeCell ref="B21:H21"/>
    <mergeCell ref="B10:C10"/>
    <mergeCell ref="B16:H16"/>
    <mergeCell ref="B17:C17"/>
    <mergeCell ref="B18:C18"/>
    <mergeCell ref="B12:H12"/>
    <mergeCell ref="B13:C13"/>
    <mergeCell ref="B14:C14"/>
  </mergeCells>
  <pageMargins left="0.511811024" right="0.511811024" top="0.78740157499999996" bottom="0.78740157499999996" header="0.31496062000000002" footer="0.31496062000000002"/>
  <pageSetup paperSize="9" orientation="portrait" horizontalDpi="4294967294"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7"/>
  <sheetViews>
    <sheetView showGridLines="0" workbookViewId="0">
      <selection activeCell="I127" sqref="I127"/>
    </sheetView>
  </sheetViews>
  <sheetFormatPr defaultRowHeight="15" x14ac:dyDescent="0.25"/>
  <cols>
    <col min="1" max="1" width="5.85546875" style="194" customWidth="1"/>
    <col min="2" max="2" width="24.28515625" style="194" customWidth="1"/>
    <col min="3" max="3" width="22.140625" style="194" customWidth="1"/>
    <col min="4" max="4" width="16.28515625" style="102" customWidth="1"/>
    <col min="5" max="5" width="26.7109375" style="194" customWidth="1"/>
    <col min="6" max="6" width="19.7109375" style="194" customWidth="1"/>
    <col min="7" max="8" width="11.5703125" style="194" bestFit="1" customWidth="1"/>
    <col min="9" max="9" width="12.7109375" style="194" customWidth="1"/>
    <col min="10" max="16384" width="9.140625" style="194"/>
  </cols>
  <sheetData>
    <row r="2" spans="2:10" x14ac:dyDescent="0.25">
      <c r="B2" s="191" t="s">
        <v>181</v>
      </c>
      <c r="C2" s="192"/>
      <c r="D2" s="192"/>
      <c r="E2" s="192"/>
      <c r="F2" s="192"/>
      <c r="G2" s="192"/>
      <c r="H2" s="192"/>
      <c r="I2" s="192"/>
      <c r="J2" s="193"/>
    </row>
    <row r="5" spans="2:10" ht="15.75" x14ac:dyDescent="0.25">
      <c r="B5" s="195">
        <f>'4. PCUST_ROÇADOR'!D141</f>
        <v>0</v>
      </c>
      <c r="C5" s="257" t="s">
        <v>242</v>
      </c>
      <c r="D5" s="258"/>
      <c r="E5" s="258"/>
      <c r="F5" s="258"/>
      <c r="G5" s="258"/>
      <c r="H5" s="196"/>
      <c r="I5" s="196"/>
      <c r="J5" s="196"/>
    </row>
    <row r="6" spans="2:10" ht="6" customHeight="1" x14ac:dyDescent="0.25">
      <c r="B6" s="196"/>
      <c r="C6" s="196"/>
      <c r="D6" s="197"/>
      <c r="G6" s="196"/>
      <c r="H6" s="196"/>
      <c r="I6" s="196"/>
      <c r="J6" s="196"/>
    </row>
    <row r="7" spans="2:10" ht="30" x14ac:dyDescent="0.25">
      <c r="B7" s="198" t="s">
        <v>182</v>
      </c>
      <c r="C7" s="189" t="s">
        <v>183</v>
      </c>
      <c r="D7" s="7" t="s">
        <v>184</v>
      </c>
      <c r="E7" s="189" t="s">
        <v>185</v>
      </c>
      <c r="F7" s="189" t="s">
        <v>186</v>
      </c>
      <c r="G7" s="189"/>
      <c r="H7" s="189"/>
      <c r="I7" s="189"/>
      <c r="J7" s="189"/>
    </row>
    <row r="8" spans="2:10" x14ac:dyDescent="0.25">
      <c r="B8" s="199" t="s">
        <v>187</v>
      </c>
      <c r="C8" s="199">
        <v>1</v>
      </c>
      <c r="D8" s="200">
        <v>30</v>
      </c>
      <c r="E8" s="201">
        <v>0.69041095890410964</v>
      </c>
      <c r="F8" s="202"/>
      <c r="G8" s="199"/>
      <c r="H8" s="199"/>
      <c r="I8" s="203"/>
      <c r="J8" s="204"/>
    </row>
    <row r="9" spans="2:10" x14ac:dyDescent="0.25">
      <c r="B9" s="199" t="s">
        <v>188</v>
      </c>
      <c r="C9" s="199">
        <v>1</v>
      </c>
      <c r="D9" s="200">
        <v>1</v>
      </c>
      <c r="E9" s="205">
        <v>1</v>
      </c>
      <c r="F9" s="202">
        <v>1</v>
      </c>
      <c r="G9" s="199">
        <f>(B5/D9)/30</f>
        <v>0</v>
      </c>
      <c r="H9" s="199">
        <f t="shared" ref="H9:H19" si="0">G9/12</f>
        <v>0</v>
      </c>
      <c r="I9" s="203"/>
      <c r="J9" s="204"/>
    </row>
    <row r="10" spans="2:10" x14ac:dyDescent="0.25">
      <c r="B10" s="206" t="s">
        <v>189</v>
      </c>
      <c r="C10" s="206">
        <v>9.2200000000000004E-2</v>
      </c>
      <c r="D10" s="207">
        <v>15</v>
      </c>
      <c r="E10" s="208">
        <v>0.69041095890410964</v>
      </c>
      <c r="F10" s="209">
        <v>0.95483835616438362</v>
      </c>
      <c r="G10" s="199">
        <f>G9*F10</f>
        <v>0</v>
      </c>
      <c r="H10" s="206">
        <f t="shared" si="0"/>
        <v>0</v>
      </c>
      <c r="I10" s="203"/>
      <c r="J10" s="204"/>
    </row>
    <row r="11" spans="2:10" x14ac:dyDescent="0.25">
      <c r="B11" s="199" t="s">
        <v>190</v>
      </c>
      <c r="C11" s="199">
        <v>1</v>
      </c>
      <c r="D11" s="200">
        <v>5</v>
      </c>
      <c r="E11" s="201">
        <v>0.69041095890410964</v>
      </c>
      <c r="F11" s="202">
        <v>3.4520547945205484</v>
      </c>
      <c r="G11" s="199">
        <f>G9*F11</f>
        <v>0</v>
      </c>
      <c r="H11" s="199">
        <f t="shared" si="0"/>
        <v>0</v>
      </c>
      <c r="I11" s="203"/>
      <c r="J11" s="204"/>
    </row>
    <row r="12" spans="2:10" x14ac:dyDescent="0.25">
      <c r="B12" s="199" t="s">
        <v>191</v>
      </c>
      <c r="C12" s="199">
        <v>0.1522</v>
      </c>
      <c r="D12" s="200">
        <v>2</v>
      </c>
      <c r="E12" s="205">
        <v>1</v>
      </c>
      <c r="F12" s="202">
        <v>0.3044</v>
      </c>
      <c r="G12" s="199">
        <f>G9*F12</f>
        <v>0</v>
      </c>
      <c r="H12" s="199">
        <f t="shared" si="0"/>
        <v>0</v>
      </c>
      <c r="I12" s="203"/>
      <c r="J12" s="204"/>
    </row>
    <row r="13" spans="2:10" x14ac:dyDescent="0.25">
      <c r="B13" s="199" t="s">
        <v>192</v>
      </c>
      <c r="C13" s="199">
        <v>3.09E-2</v>
      </c>
      <c r="D13" s="200">
        <v>2</v>
      </c>
      <c r="E13" s="201">
        <v>0.69041095890410964</v>
      </c>
      <c r="F13" s="202">
        <v>4.2667397260273979E-2</v>
      </c>
      <c r="G13" s="199">
        <f>G9*F13</f>
        <v>0</v>
      </c>
      <c r="H13" s="199">
        <f t="shared" si="0"/>
        <v>0</v>
      </c>
      <c r="I13" s="203"/>
      <c r="J13" s="204"/>
    </row>
    <row r="14" spans="2:10" x14ac:dyDescent="0.25">
      <c r="B14" s="199" t="s">
        <v>193</v>
      </c>
      <c r="C14" s="199">
        <v>1.23E-2</v>
      </c>
      <c r="D14" s="200">
        <v>3</v>
      </c>
      <c r="E14" s="205">
        <v>1</v>
      </c>
      <c r="F14" s="202">
        <v>3.6900000000000002E-2</v>
      </c>
      <c r="G14" s="199">
        <f>G9*F14</f>
        <v>0</v>
      </c>
      <c r="H14" s="199">
        <f t="shared" si="0"/>
        <v>0</v>
      </c>
      <c r="I14" s="203"/>
      <c r="J14" s="204"/>
    </row>
    <row r="15" spans="2:10" x14ac:dyDescent="0.25">
      <c r="B15" s="199" t="s">
        <v>194</v>
      </c>
      <c r="C15" s="199">
        <v>0.02</v>
      </c>
      <c r="D15" s="200">
        <v>1</v>
      </c>
      <c r="E15" s="205">
        <v>1</v>
      </c>
      <c r="F15" s="202">
        <v>0.02</v>
      </c>
      <c r="G15" s="199">
        <f>G9*F15</f>
        <v>0</v>
      </c>
      <c r="H15" s="199">
        <f t="shared" si="0"/>
        <v>0</v>
      </c>
      <c r="I15" s="203"/>
      <c r="J15" s="204"/>
    </row>
    <row r="16" spans="2:10" x14ac:dyDescent="0.25">
      <c r="B16" s="199" t="s">
        <v>195</v>
      </c>
      <c r="C16" s="199">
        <v>4.0000000000000001E-3</v>
      </c>
      <c r="D16" s="200">
        <v>1</v>
      </c>
      <c r="E16" s="205">
        <v>1</v>
      </c>
      <c r="F16" s="202">
        <v>4.0000000000000001E-3</v>
      </c>
      <c r="G16" s="199">
        <f>G9*F16</f>
        <v>0</v>
      </c>
      <c r="H16" s="199">
        <f t="shared" si="0"/>
        <v>0</v>
      </c>
      <c r="I16" s="203"/>
      <c r="J16" s="204"/>
    </row>
    <row r="17" spans="2:12" x14ac:dyDescent="0.25">
      <c r="B17" s="206" t="s">
        <v>196</v>
      </c>
      <c r="C17" s="206">
        <v>3.2099999999999997E-2</v>
      </c>
      <c r="D17" s="207">
        <v>20</v>
      </c>
      <c r="E17" s="208">
        <v>0.69041095890410964</v>
      </c>
      <c r="F17" s="209">
        <v>0.44324383561643832</v>
      </c>
      <c r="G17" s="206">
        <f>G9*F17</f>
        <v>0</v>
      </c>
      <c r="H17" s="206">
        <f t="shared" si="0"/>
        <v>0</v>
      </c>
      <c r="I17" s="203"/>
      <c r="J17" s="204"/>
    </row>
    <row r="18" spans="2:12" x14ac:dyDescent="0.25">
      <c r="B18" s="206" t="s">
        <v>197</v>
      </c>
      <c r="C18" s="206">
        <v>2.8E-3</v>
      </c>
      <c r="D18" s="207">
        <v>180</v>
      </c>
      <c r="E18" s="208">
        <v>0.69041095890410964</v>
      </c>
      <c r="F18" s="209">
        <v>0.34796712328767126</v>
      </c>
      <c r="G18" s="206">
        <f>G9*F18</f>
        <v>0</v>
      </c>
      <c r="H18" s="206">
        <f t="shared" si="0"/>
        <v>0</v>
      </c>
      <c r="I18" s="203"/>
      <c r="J18" s="204"/>
    </row>
    <row r="19" spans="2:12" x14ac:dyDescent="0.25">
      <c r="B19" s="199" t="s">
        <v>198</v>
      </c>
      <c r="C19" s="199">
        <v>2.0000000000000001E-4</v>
      </c>
      <c r="D19" s="200">
        <v>6</v>
      </c>
      <c r="E19" s="205">
        <v>1</v>
      </c>
      <c r="F19" s="202">
        <v>1.2000000000000001E-3</v>
      </c>
      <c r="G19" s="199">
        <f>G9*F19</f>
        <v>0</v>
      </c>
      <c r="H19" s="199">
        <f t="shared" si="0"/>
        <v>0</v>
      </c>
      <c r="I19" s="203"/>
      <c r="J19" s="204"/>
    </row>
    <row r="20" spans="2:12" x14ac:dyDescent="0.25">
      <c r="B20" s="204"/>
      <c r="C20" s="204"/>
      <c r="D20" s="200"/>
      <c r="E20" s="204"/>
      <c r="F20" s="210">
        <f>SUM(F8:F19)</f>
        <v>6.6072715068493153</v>
      </c>
      <c r="G20" s="199">
        <v>76.95</v>
      </c>
      <c r="H20" s="199">
        <f>G20*F20</f>
        <v>508.42954245205482</v>
      </c>
      <c r="I20" s="203">
        <f>H9+H11+H12+H13+H14+H15+H16</f>
        <v>0</v>
      </c>
      <c r="J20" s="204"/>
    </row>
    <row r="21" spans="2:12" x14ac:dyDescent="0.25">
      <c r="B21" s="204"/>
      <c r="C21" s="204"/>
      <c r="D21" s="200"/>
      <c r="E21" s="204"/>
      <c r="F21" s="204"/>
      <c r="G21" s="204"/>
      <c r="H21" s="204"/>
      <c r="I21" s="203">
        <f>H10</f>
        <v>0</v>
      </c>
      <c r="J21" s="204"/>
    </row>
    <row r="22" spans="2:12" x14ac:dyDescent="0.25">
      <c r="B22" s="204"/>
      <c r="C22" s="204"/>
      <c r="D22" s="200"/>
      <c r="E22" s="204"/>
      <c r="F22" s="204"/>
      <c r="G22" s="204"/>
      <c r="H22" s="204"/>
      <c r="I22" s="203">
        <f>H17</f>
        <v>0</v>
      </c>
      <c r="J22" s="204"/>
    </row>
    <row r="23" spans="2:12" x14ac:dyDescent="0.25">
      <c r="B23" s="204"/>
      <c r="C23" s="204"/>
      <c r="D23" s="200"/>
      <c r="E23" s="204"/>
      <c r="F23" s="204"/>
      <c r="G23" s="204"/>
      <c r="H23" s="204"/>
      <c r="I23" s="203">
        <f>H18</f>
        <v>0</v>
      </c>
      <c r="J23" s="204"/>
    </row>
    <row r="24" spans="2:12" x14ac:dyDescent="0.25">
      <c r="B24" s="204"/>
      <c r="C24" s="204"/>
      <c r="D24" s="200"/>
      <c r="E24" s="204"/>
      <c r="F24" s="204"/>
      <c r="G24" s="204"/>
      <c r="H24" s="204"/>
      <c r="I24" s="211"/>
      <c r="J24" s="204"/>
    </row>
    <row r="25" spans="2:12" x14ac:dyDescent="0.25">
      <c r="B25" s="204"/>
      <c r="C25" s="204"/>
      <c r="D25" s="200"/>
      <c r="E25" s="204"/>
      <c r="F25" s="204"/>
      <c r="G25" s="204"/>
      <c r="H25" s="204"/>
      <c r="I25" s="204"/>
      <c r="J25" s="204"/>
    </row>
    <row r="27" spans="2:12" ht="15.75" x14ac:dyDescent="0.25">
      <c r="B27" s="195">
        <f>'3. PCUST_OPER RURAL'!D140</f>
        <v>0</v>
      </c>
      <c r="C27" s="257" t="s">
        <v>199</v>
      </c>
      <c r="D27" s="258"/>
      <c r="E27" s="258"/>
      <c r="F27" s="258"/>
      <c r="G27" s="258"/>
      <c r="H27" s="196"/>
      <c r="I27" s="196"/>
      <c r="J27" s="196"/>
    </row>
    <row r="28" spans="2:12" ht="6" customHeight="1" x14ac:dyDescent="0.25">
      <c r="B28" s="196"/>
      <c r="C28" s="196"/>
      <c r="D28" s="197"/>
      <c r="G28" s="196"/>
      <c r="H28" s="196"/>
      <c r="I28" s="196"/>
      <c r="J28" s="196"/>
    </row>
    <row r="29" spans="2:12" ht="30" x14ac:dyDescent="0.25">
      <c r="B29" s="198" t="s">
        <v>182</v>
      </c>
      <c r="C29" s="189" t="s">
        <v>183</v>
      </c>
      <c r="D29" s="7" t="s">
        <v>184</v>
      </c>
      <c r="E29" s="189" t="s">
        <v>185</v>
      </c>
      <c r="F29" s="189" t="s">
        <v>186</v>
      </c>
      <c r="G29" s="189"/>
      <c r="H29" s="189"/>
      <c r="I29" s="189"/>
      <c r="J29" s="189"/>
    </row>
    <row r="30" spans="2:12" x14ac:dyDescent="0.25">
      <c r="B30" s="199" t="s">
        <v>187</v>
      </c>
      <c r="C30" s="199">
        <v>1</v>
      </c>
      <c r="D30" s="200">
        <v>30</v>
      </c>
      <c r="E30" s="201">
        <v>0.69041095890410964</v>
      </c>
      <c r="F30" s="202"/>
      <c r="G30" s="199"/>
      <c r="H30" s="199"/>
      <c r="I30" s="203"/>
      <c r="J30" s="204"/>
    </row>
    <row r="31" spans="2:12" x14ac:dyDescent="0.25">
      <c r="B31" s="199" t="s">
        <v>188</v>
      </c>
      <c r="C31" s="199">
        <v>1</v>
      </c>
      <c r="D31" s="200">
        <v>1</v>
      </c>
      <c r="E31" s="205">
        <v>1</v>
      </c>
      <c r="F31" s="202">
        <v>1</v>
      </c>
      <c r="G31" s="199">
        <f>(B27/D31)/30</f>
        <v>0</v>
      </c>
      <c r="H31" s="199">
        <f t="shared" ref="H31:H41" si="1">G31/12</f>
        <v>0</v>
      </c>
      <c r="I31" s="203"/>
      <c r="J31" s="204"/>
      <c r="L31" s="194">
        <f>B27/30</f>
        <v>0</v>
      </c>
    </row>
    <row r="32" spans="2:12" x14ac:dyDescent="0.25">
      <c r="B32" s="206" t="s">
        <v>189</v>
      </c>
      <c r="C32" s="206">
        <v>9.2200000000000004E-2</v>
      </c>
      <c r="D32" s="207">
        <v>15</v>
      </c>
      <c r="E32" s="208">
        <v>0.69041095890410964</v>
      </c>
      <c r="F32" s="209">
        <v>0.95483835616438362</v>
      </c>
      <c r="G32" s="199">
        <f>G31*F32</f>
        <v>0</v>
      </c>
      <c r="H32" s="206">
        <f t="shared" si="1"/>
        <v>0</v>
      </c>
      <c r="I32" s="203"/>
      <c r="J32" s="204"/>
    </row>
    <row r="33" spans="2:10" x14ac:dyDescent="0.25">
      <c r="B33" s="199" t="s">
        <v>190</v>
      </c>
      <c r="C33" s="199">
        <v>1</v>
      </c>
      <c r="D33" s="200">
        <v>5</v>
      </c>
      <c r="E33" s="201">
        <v>0.69041095890410964</v>
      </c>
      <c r="F33" s="202">
        <v>3.4520547945205484</v>
      </c>
      <c r="G33" s="199">
        <f>G31*F33</f>
        <v>0</v>
      </c>
      <c r="H33" s="199">
        <f t="shared" si="1"/>
        <v>0</v>
      </c>
      <c r="I33" s="203"/>
      <c r="J33" s="204"/>
    </row>
    <row r="34" spans="2:10" x14ac:dyDescent="0.25">
      <c r="B34" s="199" t="s">
        <v>191</v>
      </c>
      <c r="C34" s="199">
        <v>0.1522</v>
      </c>
      <c r="D34" s="200">
        <v>2</v>
      </c>
      <c r="E34" s="205">
        <v>1</v>
      </c>
      <c r="F34" s="202">
        <v>0.3044</v>
      </c>
      <c r="G34" s="199">
        <f>G31*F34</f>
        <v>0</v>
      </c>
      <c r="H34" s="199">
        <f t="shared" si="1"/>
        <v>0</v>
      </c>
      <c r="I34" s="203"/>
      <c r="J34" s="204"/>
    </row>
    <row r="35" spans="2:10" x14ac:dyDescent="0.25">
      <c r="B35" s="199" t="s">
        <v>192</v>
      </c>
      <c r="C35" s="199">
        <v>3.09E-2</v>
      </c>
      <c r="D35" s="200">
        <v>2</v>
      </c>
      <c r="E35" s="201">
        <v>0.69041095890410964</v>
      </c>
      <c r="F35" s="202">
        <v>4.2667397260273979E-2</v>
      </c>
      <c r="G35" s="199">
        <f>G31*F35</f>
        <v>0</v>
      </c>
      <c r="H35" s="199">
        <f t="shared" si="1"/>
        <v>0</v>
      </c>
      <c r="I35" s="203"/>
      <c r="J35" s="204"/>
    </row>
    <row r="36" spans="2:10" x14ac:dyDescent="0.25">
      <c r="B36" s="199" t="s">
        <v>193</v>
      </c>
      <c r="C36" s="199">
        <v>1.23E-2</v>
      </c>
      <c r="D36" s="200">
        <v>3</v>
      </c>
      <c r="E36" s="205">
        <v>1</v>
      </c>
      <c r="F36" s="202">
        <v>3.6900000000000002E-2</v>
      </c>
      <c r="G36" s="199">
        <f>G31*F36</f>
        <v>0</v>
      </c>
      <c r="H36" s="199">
        <f t="shared" si="1"/>
        <v>0</v>
      </c>
      <c r="I36" s="203"/>
      <c r="J36" s="204"/>
    </row>
    <row r="37" spans="2:10" x14ac:dyDescent="0.25">
      <c r="B37" s="199" t="s">
        <v>194</v>
      </c>
      <c r="C37" s="199">
        <v>0.02</v>
      </c>
      <c r="D37" s="200">
        <v>1</v>
      </c>
      <c r="E37" s="205">
        <v>1</v>
      </c>
      <c r="F37" s="202">
        <v>0.02</v>
      </c>
      <c r="G37" s="199">
        <f>G31*F37</f>
        <v>0</v>
      </c>
      <c r="H37" s="199">
        <f t="shared" si="1"/>
        <v>0</v>
      </c>
      <c r="I37" s="203"/>
      <c r="J37" s="204"/>
    </row>
    <row r="38" spans="2:10" x14ac:dyDescent="0.25">
      <c r="B38" s="199" t="s">
        <v>195</v>
      </c>
      <c r="C38" s="199">
        <v>4.0000000000000001E-3</v>
      </c>
      <c r="D38" s="200">
        <v>1</v>
      </c>
      <c r="E38" s="205">
        <v>1</v>
      </c>
      <c r="F38" s="202">
        <v>4.0000000000000001E-3</v>
      </c>
      <c r="G38" s="199">
        <f>G31*F38</f>
        <v>0</v>
      </c>
      <c r="H38" s="199">
        <f t="shared" si="1"/>
        <v>0</v>
      </c>
      <c r="I38" s="203"/>
      <c r="J38" s="204"/>
    </row>
    <row r="39" spans="2:10" x14ac:dyDescent="0.25">
      <c r="B39" s="206" t="s">
        <v>196</v>
      </c>
      <c r="C39" s="206">
        <v>3.2099999999999997E-2</v>
      </c>
      <c r="D39" s="207">
        <v>20</v>
      </c>
      <c r="E39" s="208">
        <v>0.69041095890410964</v>
      </c>
      <c r="F39" s="209">
        <v>0.44324383561643832</v>
      </c>
      <c r="G39" s="206">
        <f>G31*F39</f>
        <v>0</v>
      </c>
      <c r="H39" s="206">
        <f t="shared" si="1"/>
        <v>0</v>
      </c>
      <c r="I39" s="203"/>
      <c r="J39" s="204"/>
    </row>
    <row r="40" spans="2:10" x14ac:dyDescent="0.25">
      <c r="B40" s="206" t="s">
        <v>197</v>
      </c>
      <c r="C40" s="206">
        <v>2.8E-3</v>
      </c>
      <c r="D40" s="207">
        <v>180</v>
      </c>
      <c r="E40" s="208">
        <v>0.69041095890410964</v>
      </c>
      <c r="F40" s="209">
        <v>0.34796712328767126</v>
      </c>
      <c r="G40" s="206">
        <f>G31*F40</f>
        <v>0</v>
      </c>
      <c r="H40" s="206">
        <f t="shared" si="1"/>
        <v>0</v>
      </c>
      <c r="I40" s="203"/>
      <c r="J40" s="204"/>
    </row>
    <row r="41" spans="2:10" x14ac:dyDescent="0.25">
      <c r="B41" s="199" t="s">
        <v>198</v>
      </c>
      <c r="C41" s="199">
        <v>2.0000000000000001E-4</v>
      </c>
      <c r="D41" s="200">
        <v>6</v>
      </c>
      <c r="E41" s="205">
        <v>1</v>
      </c>
      <c r="F41" s="202">
        <v>1.2000000000000001E-3</v>
      </c>
      <c r="G41" s="199">
        <f>G31*F41</f>
        <v>0</v>
      </c>
      <c r="H41" s="199">
        <f t="shared" si="1"/>
        <v>0</v>
      </c>
      <c r="I41" s="203"/>
      <c r="J41" s="204"/>
    </row>
    <row r="42" spans="2:10" x14ac:dyDescent="0.25">
      <c r="B42" s="204"/>
      <c r="C42" s="204"/>
      <c r="D42" s="200"/>
      <c r="E42" s="204"/>
      <c r="F42" s="210">
        <f>SUM(F30:F41)</f>
        <v>6.6072715068493153</v>
      </c>
      <c r="G42" s="199">
        <v>73.28</v>
      </c>
      <c r="H42" s="199">
        <f>G42*F42</f>
        <v>484.1808560219178</v>
      </c>
      <c r="I42" s="203">
        <f>H31+H33+H34+H35+H36+H37+H38</f>
        <v>0</v>
      </c>
      <c r="J42" s="204"/>
    </row>
    <row r="43" spans="2:10" x14ac:dyDescent="0.25">
      <c r="B43" s="204"/>
      <c r="C43" s="204"/>
      <c r="D43" s="200"/>
      <c r="E43" s="204"/>
      <c r="F43" s="204"/>
      <c r="G43" s="204"/>
      <c r="H43" s="204"/>
      <c r="I43" s="203">
        <f>H32</f>
        <v>0</v>
      </c>
      <c r="J43" s="204"/>
    </row>
    <row r="44" spans="2:10" x14ac:dyDescent="0.25">
      <c r="B44" s="204"/>
      <c r="C44" s="204"/>
      <c r="D44" s="200"/>
      <c r="E44" s="204"/>
      <c r="F44" s="204"/>
      <c r="G44" s="204"/>
      <c r="H44" s="204"/>
      <c r="I44" s="203">
        <f>H39</f>
        <v>0</v>
      </c>
      <c r="J44" s="204"/>
    </row>
    <row r="45" spans="2:10" x14ac:dyDescent="0.25">
      <c r="B45" s="204"/>
      <c r="C45" s="204"/>
      <c r="D45" s="200"/>
      <c r="E45" s="204"/>
      <c r="F45" s="204"/>
      <c r="G45" s="204"/>
      <c r="H45" s="204"/>
      <c r="I45" s="203">
        <f>H40</f>
        <v>0</v>
      </c>
      <c r="J45" s="204"/>
    </row>
    <row r="46" spans="2:10" x14ac:dyDescent="0.25">
      <c r="B46" s="204"/>
      <c r="C46" s="204"/>
      <c r="D46" s="200"/>
      <c r="E46" s="204"/>
      <c r="F46" s="204"/>
      <c r="G46" s="204"/>
      <c r="H46" s="204"/>
      <c r="I46" s="211"/>
      <c r="J46" s="204"/>
    </row>
    <row r="47" spans="2:10" x14ac:dyDescent="0.25">
      <c r="B47" s="204"/>
      <c r="C47" s="204"/>
      <c r="D47" s="200"/>
      <c r="E47" s="204"/>
      <c r="F47" s="204"/>
      <c r="G47" s="204"/>
      <c r="H47" s="204"/>
      <c r="I47" s="204"/>
      <c r="J47" s="204"/>
    </row>
  </sheetData>
  <mergeCells count="2">
    <mergeCell ref="C5:G5"/>
    <mergeCell ref="C27:G27"/>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RESUMO GERAL</vt:lpstr>
      <vt:lpstr>1.OPERÁRIO RURAL - MAT.</vt:lpstr>
      <vt:lpstr>2. ROÇADOR - MAT.</vt:lpstr>
      <vt:lpstr>3. PCUST_OPER RURAL</vt:lpstr>
      <vt:lpstr>4. PCUST_ROÇADOR</vt:lpstr>
      <vt:lpstr>Beneficios</vt:lpstr>
      <vt:lpstr>Calc. módulo 4</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IFAM-CMZL</dc:creator>
  <cp:lastModifiedBy>IFAM-CMZL</cp:lastModifiedBy>
  <cp:lastPrinted>2021-02-10T02:32:37Z</cp:lastPrinted>
  <dcterms:created xsi:type="dcterms:W3CDTF">2020-09-23T19:17:24Z</dcterms:created>
  <dcterms:modified xsi:type="dcterms:W3CDTF">2021-03-12T22:45:35Z</dcterms:modified>
</cp:coreProperties>
</file>