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010" windowHeight="7455" tabRatio="626" activeTab="5"/>
  </bookViews>
  <sheets>
    <sheet name="Lev SAPATAS" sheetId="10" r:id="rId1"/>
    <sheet name="Lev Pilares" sheetId="1" r:id="rId2"/>
    <sheet name="Lev. Vigas" sheetId="2" r:id="rId3"/>
    <sheet name="Aço Sapatas" sheetId="11" r:id="rId4"/>
    <sheet name="Aço Pilares" sheetId="8" r:id="rId5"/>
    <sheet name=" Aço Vigas " sheetId="4" r:id="rId6"/>
  </sheets>
  <definedNames>
    <definedName name="_xlnm.Print_Area" localSheetId="5">' Aço Vigas '!$D$1:$Q$141</definedName>
    <definedName name="_xlnm.Print_Area" localSheetId="4">'Aço Pilares'!$D$1:$P$55</definedName>
    <definedName name="_xlnm.Print_Area" localSheetId="3">'Aço Sapatas'!$D$1:$P$57</definedName>
    <definedName name="_xlnm.Print_Area" localSheetId="1">'Lev Pilares'!$A$8:$K$29</definedName>
    <definedName name="_xlnm.Print_Area" localSheetId="0">'Lev SAPATAS'!$A$1:$L$22</definedName>
    <definedName name="_xlnm.Print_Area" localSheetId="2">'Lev. Vigas'!$A$1:$M$31</definedName>
    <definedName name="_xlnm.Print_Titles" localSheetId="5">' Aço Vigas '!$1:$16</definedName>
    <definedName name="_xlnm.Print_Titles" localSheetId="4">'Aço Pilares'!$1:$22</definedName>
    <definedName name="_xlnm.Print_Titles" localSheetId="3">'Aço Sapatas'!$1:$22</definedName>
    <definedName name="_xlnm.Print_Titles" localSheetId="1">'Lev Pilares'!$1:$13</definedName>
    <definedName name="_xlnm.Print_Titles" localSheetId="0">'Lev SAPATAS'!$1:$13</definedName>
    <definedName name="_xlnm.Print_Titles" localSheetId="2">'Lev. Vigas'!$1:$13</definedName>
  </definedNames>
  <calcPr calcId="145621"/>
</workbook>
</file>

<file path=xl/calcChain.xml><?xml version="1.0" encoding="utf-8"?>
<calcChain xmlns="http://schemas.openxmlformats.org/spreadsheetml/2006/main">
  <c r="D90" i="4" l="1"/>
  <c r="A8" i="1"/>
  <c r="D9" i="4"/>
  <c r="D9" i="8"/>
  <c r="D9" i="11"/>
  <c r="A9" i="2"/>
  <c r="A9" i="1"/>
  <c r="D8" i="4"/>
  <c r="D12" i="4" s="1"/>
  <c r="D8" i="8"/>
  <c r="D12" i="8" s="1"/>
  <c r="D8" i="11"/>
  <c r="D20" i="11" s="1"/>
  <c r="A8" i="2"/>
  <c r="L9" i="2"/>
  <c r="J14" i="2"/>
  <c r="J20" i="2"/>
  <c r="J19" i="2"/>
  <c r="J18" i="2"/>
  <c r="J17" i="2"/>
  <c r="J16" i="2"/>
  <c r="J15" i="2"/>
  <c r="G23" i="2"/>
  <c r="G18" i="2"/>
  <c r="G15" i="2"/>
  <c r="I18" i="2"/>
  <c r="I15" i="2"/>
  <c r="K21" i="10"/>
  <c r="K20" i="10"/>
  <c r="K19" i="10"/>
  <c r="K18" i="10"/>
  <c r="K17" i="10"/>
  <c r="K16" i="10"/>
  <c r="K15" i="10"/>
  <c r="K14" i="10"/>
  <c r="Q139" i="4"/>
  <c r="P139" i="4"/>
  <c r="O139" i="4"/>
  <c r="N139" i="4"/>
  <c r="M139" i="4"/>
  <c r="K139" i="4"/>
  <c r="J139" i="4"/>
  <c r="I139" i="4"/>
  <c r="H139" i="4"/>
  <c r="L139" i="4" s="1"/>
  <c r="Q138" i="4"/>
  <c r="P138" i="4"/>
  <c r="O138" i="4"/>
  <c r="N138" i="4"/>
  <c r="K138" i="4"/>
  <c r="J138" i="4"/>
  <c r="I138" i="4"/>
  <c r="H138" i="4"/>
  <c r="M138" i="4" s="1"/>
  <c r="Q137" i="4"/>
  <c r="P137" i="4"/>
  <c r="O137" i="4"/>
  <c r="N137" i="4"/>
  <c r="M137" i="4"/>
  <c r="L137" i="4"/>
  <c r="K137" i="4"/>
  <c r="I137" i="4"/>
  <c r="H137" i="4"/>
  <c r="J137" i="4" s="1"/>
  <c r="Q136" i="4"/>
  <c r="P136" i="4"/>
  <c r="O136" i="4"/>
  <c r="M136" i="4"/>
  <c r="K136" i="4"/>
  <c r="J136" i="4"/>
  <c r="I136" i="4"/>
  <c r="H136" i="4"/>
  <c r="N136" i="4" s="1"/>
  <c r="Q135" i="4"/>
  <c r="P135" i="4"/>
  <c r="O135" i="4"/>
  <c r="N135" i="4"/>
  <c r="M135" i="4"/>
  <c r="K135" i="4"/>
  <c r="I135" i="4"/>
  <c r="H135" i="4"/>
  <c r="J135" i="4" s="1"/>
  <c r="Q134" i="4"/>
  <c r="P134" i="4"/>
  <c r="O134" i="4"/>
  <c r="N134" i="4"/>
  <c r="M134" i="4"/>
  <c r="K134" i="4"/>
  <c r="I134" i="4"/>
  <c r="H134" i="4"/>
  <c r="L134" i="4" s="1"/>
  <c r="Q131" i="4"/>
  <c r="P131" i="4"/>
  <c r="O131" i="4"/>
  <c r="N131" i="4"/>
  <c r="M131" i="4"/>
  <c r="L131" i="4"/>
  <c r="I131" i="4"/>
  <c r="H131" i="4"/>
  <c r="J131" i="4" s="1"/>
  <c r="Q130" i="4"/>
  <c r="P130" i="4"/>
  <c r="O130" i="4"/>
  <c r="N130" i="4"/>
  <c r="J130" i="4"/>
  <c r="I130" i="4"/>
  <c r="H130" i="4"/>
  <c r="M130" i="4" s="1"/>
  <c r="Q129" i="4"/>
  <c r="P129" i="4"/>
  <c r="O129" i="4"/>
  <c r="N129" i="4"/>
  <c r="M129" i="4"/>
  <c r="K129" i="4"/>
  <c r="I129" i="4"/>
  <c r="H129" i="4"/>
  <c r="J129" i="4" s="1"/>
  <c r="Q126" i="4"/>
  <c r="P126" i="4"/>
  <c r="O126" i="4"/>
  <c r="N126" i="4"/>
  <c r="M126" i="4"/>
  <c r="L126" i="4"/>
  <c r="K126" i="4"/>
  <c r="I126" i="4"/>
  <c r="H126" i="4"/>
  <c r="J126" i="4" s="1"/>
  <c r="Q125" i="4"/>
  <c r="P125" i="4"/>
  <c r="O125" i="4"/>
  <c r="N125" i="4"/>
  <c r="L125" i="4"/>
  <c r="J125" i="4"/>
  <c r="I125" i="4"/>
  <c r="H125" i="4"/>
  <c r="M125" i="4" s="1"/>
  <c r="Q124" i="4"/>
  <c r="P124" i="4"/>
  <c r="O124" i="4"/>
  <c r="N124" i="4"/>
  <c r="M124" i="4"/>
  <c r="L124" i="4"/>
  <c r="I124" i="4"/>
  <c r="H124" i="4"/>
  <c r="J124" i="4" s="1"/>
  <c r="Q123" i="4"/>
  <c r="P123" i="4"/>
  <c r="O123" i="4"/>
  <c r="N123" i="4"/>
  <c r="L123" i="4"/>
  <c r="K123" i="4"/>
  <c r="I123" i="4"/>
  <c r="H123" i="4"/>
  <c r="M123" i="4" s="1"/>
  <c r="Q120" i="4"/>
  <c r="P120" i="4"/>
  <c r="O120" i="4"/>
  <c r="N120" i="4"/>
  <c r="M120" i="4"/>
  <c r="K120" i="4"/>
  <c r="I120" i="4"/>
  <c r="H120" i="4"/>
  <c r="L120" i="4" s="1"/>
  <c r="Q119" i="4"/>
  <c r="P119" i="4"/>
  <c r="O119" i="4"/>
  <c r="N119" i="4"/>
  <c r="K119" i="4"/>
  <c r="J119" i="4"/>
  <c r="I119" i="4"/>
  <c r="H119" i="4"/>
  <c r="M119" i="4" s="1"/>
  <c r="Q118" i="4"/>
  <c r="P118" i="4"/>
  <c r="O118" i="4"/>
  <c r="N118" i="4"/>
  <c r="M118" i="4"/>
  <c r="L118" i="4"/>
  <c r="K118" i="4"/>
  <c r="I118" i="4"/>
  <c r="H118" i="4"/>
  <c r="J118" i="4" s="1"/>
  <c r="Q117" i="4"/>
  <c r="P117" i="4"/>
  <c r="O117" i="4"/>
  <c r="N117" i="4"/>
  <c r="K117" i="4"/>
  <c r="J117" i="4"/>
  <c r="I117" i="4"/>
  <c r="H117" i="4"/>
  <c r="M117" i="4" s="1"/>
  <c r="Q114" i="4"/>
  <c r="P114" i="4"/>
  <c r="O114" i="4"/>
  <c r="N114" i="4"/>
  <c r="M114" i="4"/>
  <c r="L114" i="4"/>
  <c r="I114" i="4"/>
  <c r="H114" i="4"/>
  <c r="K114" i="4" s="1"/>
  <c r="Q113" i="4"/>
  <c r="P113" i="4"/>
  <c r="O113" i="4"/>
  <c r="N113" i="4"/>
  <c r="M113" i="4"/>
  <c r="K113" i="4"/>
  <c r="J113" i="4"/>
  <c r="I113" i="4"/>
  <c r="H113" i="4"/>
  <c r="L113" i="4" s="1"/>
  <c r="Q112" i="4"/>
  <c r="P112" i="4"/>
  <c r="O112" i="4"/>
  <c r="N112" i="4"/>
  <c r="K112" i="4"/>
  <c r="J112" i="4"/>
  <c r="I112" i="4"/>
  <c r="H112" i="4"/>
  <c r="M112" i="4" s="1"/>
  <c r="Q111" i="4"/>
  <c r="P111" i="4"/>
  <c r="O111" i="4"/>
  <c r="N111" i="4"/>
  <c r="M111" i="4"/>
  <c r="L111" i="4"/>
  <c r="K111" i="4"/>
  <c r="I111" i="4"/>
  <c r="H111" i="4"/>
  <c r="J111" i="4" s="1"/>
  <c r="Q110" i="4"/>
  <c r="P110" i="4"/>
  <c r="O110" i="4"/>
  <c r="N110" i="4"/>
  <c r="K110" i="4"/>
  <c r="J110" i="4"/>
  <c r="I110" i="4"/>
  <c r="H110" i="4"/>
  <c r="M110" i="4" s="1"/>
  <c r="Q107" i="4"/>
  <c r="P107" i="4"/>
  <c r="O107" i="4"/>
  <c r="N107" i="4"/>
  <c r="M107" i="4"/>
  <c r="L107" i="4"/>
  <c r="K107" i="4"/>
  <c r="I107" i="4"/>
  <c r="H107" i="4"/>
  <c r="J107" i="4" s="1"/>
  <c r="Q106" i="4"/>
  <c r="P106" i="4"/>
  <c r="O106" i="4"/>
  <c r="N106" i="4"/>
  <c r="M106" i="4"/>
  <c r="K106" i="4"/>
  <c r="J106" i="4"/>
  <c r="I106" i="4"/>
  <c r="H106" i="4"/>
  <c r="L106" i="4" s="1"/>
  <c r="Q105" i="4"/>
  <c r="P105" i="4"/>
  <c r="O105" i="4"/>
  <c r="N105" i="4"/>
  <c r="M105" i="4"/>
  <c r="L105" i="4"/>
  <c r="K105" i="4"/>
  <c r="I105" i="4"/>
  <c r="H105" i="4"/>
  <c r="J105" i="4" s="1"/>
  <c r="Q104" i="4"/>
  <c r="P104" i="4"/>
  <c r="O104" i="4"/>
  <c r="N104" i="4"/>
  <c r="K104" i="4"/>
  <c r="J104" i="4"/>
  <c r="I104" i="4"/>
  <c r="H104" i="4"/>
  <c r="M104" i="4" s="1"/>
  <c r="Q101" i="4"/>
  <c r="P101" i="4"/>
  <c r="O101" i="4"/>
  <c r="N101" i="4"/>
  <c r="M101" i="4"/>
  <c r="K101" i="4"/>
  <c r="I101" i="4"/>
  <c r="H101" i="4"/>
  <c r="L101" i="4" s="1"/>
  <c r="Q100" i="4"/>
  <c r="P100" i="4"/>
  <c r="O100" i="4"/>
  <c r="N100" i="4"/>
  <c r="M100" i="4"/>
  <c r="J100" i="4"/>
  <c r="I100" i="4"/>
  <c r="H100" i="4"/>
  <c r="K100" i="4" s="1"/>
  <c r="Q99" i="4"/>
  <c r="P99" i="4"/>
  <c r="O99" i="4"/>
  <c r="N99" i="4"/>
  <c r="M99" i="4"/>
  <c r="K99" i="4"/>
  <c r="J99" i="4"/>
  <c r="I99" i="4"/>
  <c r="H99" i="4"/>
  <c r="L99" i="4" s="1"/>
  <c r="Q98" i="4"/>
  <c r="P98" i="4"/>
  <c r="O98" i="4"/>
  <c r="N98" i="4"/>
  <c r="M98" i="4"/>
  <c r="K98" i="4"/>
  <c r="J98" i="4"/>
  <c r="I98" i="4"/>
  <c r="H98" i="4"/>
  <c r="L98" i="4" s="1"/>
  <c r="Q97" i="4"/>
  <c r="P97" i="4"/>
  <c r="O97" i="4"/>
  <c r="N97" i="4"/>
  <c r="M97" i="4"/>
  <c r="K97" i="4"/>
  <c r="I97" i="4"/>
  <c r="H97" i="4"/>
  <c r="L97" i="4" s="1"/>
  <c r="Q96" i="4"/>
  <c r="P96" i="4"/>
  <c r="O96" i="4"/>
  <c r="N96" i="4"/>
  <c r="K96" i="4"/>
  <c r="I96" i="4"/>
  <c r="H96" i="4"/>
  <c r="M96" i="4" s="1"/>
  <c r="Q81" i="4"/>
  <c r="P81" i="4"/>
  <c r="O81" i="4"/>
  <c r="N81" i="4"/>
  <c r="L81" i="4"/>
  <c r="K81" i="4"/>
  <c r="J81" i="4"/>
  <c r="I81" i="4"/>
  <c r="H81" i="4"/>
  <c r="M81" i="4" s="1"/>
  <c r="Q80" i="4"/>
  <c r="P80" i="4"/>
  <c r="O80" i="4"/>
  <c r="N80" i="4"/>
  <c r="M80" i="4"/>
  <c r="K80" i="4"/>
  <c r="J80" i="4"/>
  <c r="I80" i="4"/>
  <c r="H80" i="4"/>
  <c r="L80" i="4" s="1"/>
  <c r="J50" i="11"/>
  <c r="M50" i="11" s="1"/>
  <c r="K50" i="11"/>
  <c r="L50" i="11"/>
  <c r="N50" i="11"/>
  <c r="O50" i="11"/>
  <c r="J49" i="11"/>
  <c r="M49" i="11" s="1"/>
  <c r="K49" i="11"/>
  <c r="L49" i="11"/>
  <c r="N49" i="11"/>
  <c r="O49" i="11"/>
  <c r="J45" i="11"/>
  <c r="M45" i="11" s="1"/>
  <c r="K45" i="11"/>
  <c r="L45" i="11"/>
  <c r="N45" i="11"/>
  <c r="O45" i="11"/>
  <c r="J37" i="11"/>
  <c r="M37" i="11" s="1"/>
  <c r="K37" i="11"/>
  <c r="L37" i="11"/>
  <c r="N37" i="11"/>
  <c r="O37" i="11"/>
  <c r="J33" i="11"/>
  <c r="M33" i="11" s="1"/>
  <c r="K33" i="11"/>
  <c r="L33" i="11"/>
  <c r="N33" i="11"/>
  <c r="O33" i="11"/>
  <c r="O55" i="11"/>
  <c r="N55" i="11"/>
  <c r="L55" i="11"/>
  <c r="J55" i="11"/>
  <c r="M55" i="11" s="1"/>
  <c r="O54" i="11"/>
  <c r="N54" i="11"/>
  <c r="L54" i="11"/>
  <c r="J54" i="11"/>
  <c r="K54" i="11" s="1"/>
  <c r="O53" i="11"/>
  <c r="N53" i="11"/>
  <c r="L53" i="11"/>
  <c r="J53" i="11"/>
  <c r="K53" i="11" s="1"/>
  <c r="O52" i="11"/>
  <c r="N52" i="11"/>
  <c r="L52" i="11"/>
  <c r="K52" i="11"/>
  <c r="J52" i="11"/>
  <c r="M52" i="11" s="1"/>
  <c r="O51" i="11"/>
  <c r="N51" i="11"/>
  <c r="M51" i="11"/>
  <c r="L51" i="11"/>
  <c r="J51" i="11"/>
  <c r="K51" i="11" s="1"/>
  <c r="O48" i="11"/>
  <c r="N48" i="11"/>
  <c r="L48" i="11"/>
  <c r="J48" i="11"/>
  <c r="K48" i="11" s="1"/>
  <c r="O47" i="11"/>
  <c r="N47" i="11"/>
  <c r="L47" i="11"/>
  <c r="J47" i="11"/>
  <c r="M47" i="11" s="1"/>
  <c r="O46" i="11"/>
  <c r="N46" i="11"/>
  <c r="L46" i="11"/>
  <c r="J46" i="11"/>
  <c r="K46" i="11" s="1"/>
  <c r="O44" i="11"/>
  <c r="N44" i="11"/>
  <c r="L44" i="11"/>
  <c r="K44" i="11"/>
  <c r="J44" i="11"/>
  <c r="M44" i="11" s="1"/>
  <c r="O43" i="11"/>
  <c r="N43" i="11"/>
  <c r="M43" i="11"/>
  <c r="L43" i="11"/>
  <c r="J43" i="11"/>
  <c r="K43" i="11" s="1"/>
  <c r="O42" i="11"/>
  <c r="N42" i="11"/>
  <c r="M42" i="11"/>
  <c r="L42" i="11"/>
  <c r="J42" i="11"/>
  <c r="K42" i="11" s="1"/>
  <c r="O41" i="11"/>
  <c r="N41" i="11"/>
  <c r="L41" i="11"/>
  <c r="K41" i="11"/>
  <c r="J41" i="11"/>
  <c r="M41" i="11" s="1"/>
  <c r="O40" i="11"/>
  <c r="N40" i="11"/>
  <c r="L40" i="11"/>
  <c r="K40" i="11"/>
  <c r="J40" i="11"/>
  <c r="M40" i="11" s="1"/>
  <c r="O39" i="11"/>
  <c r="N39" i="11"/>
  <c r="M39" i="11"/>
  <c r="L39" i="11"/>
  <c r="J39" i="11"/>
  <c r="K39" i="11" s="1"/>
  <c r="O38" i="11"/>
  <c r="N38" i="11"/>
  <c r="L38" i="11"/>
  <c r="J38" i="11"/>
  <c r="K38" i="11" s="1"/>
  <c r="O36" i="11"/>
  <c r="N36" i="11"/>
  <c r="L36" i="11"/>
  <c r="K36" i="11"/>
  <c r="J36" i="11"/>
  <c r="M36" i="11" s="1"/>
  <c r="O35" i="11"/>
  <c r="N35" i="11"/>
  <c r="L35" i="11"/>
  <c r="J35" i="11"/>
  <c r="M35" i="11" s="1"/>
  <c r="O34" i="11"/>
  <c r="N34" i="11"/>
  <c r="L34" i="11"/>
  <c r="J34" i="11"/>
  <c r="K34" i="11" s="1"/>
  <c r="O32" i="11"/>
  <c r="N32" i="11"/>
  <c r="L32" i="11"/>
  <c r="K32" i="11"/>
  <c r="J32" i="11"/>
  <c r="M32" i="11" s="1"/>
  <c r="O31" i="11"/>
  <c r="N31" i="11"/>
  <c r="L31" i="11"/>
  <c r="J31" i="11"/>
  <c r="M31" i="11" s="1"/>
  <c r="O30" i="11"/>
  <c r="N30" i="11"/>
  <c r="L30" i="11"/>
  <c r="J30" i="11"/>
  <c r="K30" i="11" s="1"/>
  <c r="O29" i="11"/>
  <c r="M29" i="11"/>
  <c r="L29" i="11"/>
  <c r="J29" i="11"/>
  <c r="K29" i="11" s="1"/>
  <c r="O28" i="11"/>
  <c r="L28" i="11"/>
  <c r="K28" i="11"/>
  <c r="J28" i="11"/>
  <c r="N28" i="11" s="1"/>
  <c r="O27" i="11"/>
  <c r="N27" i="11"/>
  <c r="L27" i="11"/>
  <c r="K27" i="11"/>
  <c r="J27" i="11"/>
  <c r="M27" i="11" s="1"/>
  <c r="O26" i="11"/>
  <c r="N26" i="11"/>
  <c r="M26" i="11"/>
  <c r="L26" i="11"/>
  <c r="J26" i="11"/>
  <c r="K26" i="11" s="1"/>
  <c r="O25" i="11"/>
  <c r="N25" i="11"/>
  <c r="L25" i="11"/>
  <c r="K25" i="11"/>
  <c r="J25" i="11"/>
  <c r="M25" i="11" s="1"/>
  <c r="O24" i="11"/>
  <c r="N24" i="11"/>
  <c r="L24" i="11"/>
  <c r="J24" i="11"/>
  <c r="K24" i="11" s="1"/>
  <c r="O23" i="11"/>
  <c r="N23" i="11"/>
  <c r="L23" i="11"/>
  <c r="J23" i="11"/>
  <c r="K23" i="11" s="1"/>
  <c r="J50" i="8"/>
  <c r="M50" i="8" s="1"/>
  <c r="K50" i="8"/>
  <c r="L50" i="8"/>
  <c r="N50" i="8"/>
  <c r="O50" i="8"/>
  <c r="J51" i="8"/>
  <c r="K51" i="8" s="1"/>
  <c r="L51" i="8"/>
  <c r="M51" i="8"/>
  <c r="N51" i="8"/>
  <c r="O51" i="8"/>
  <c r="J52" i="8"/>
  <c r="K52" i="8" s="1"/>
  <c r="L52" i="8"/>
  <c r="M52" i="8"/>
  <c r="N52" i="8"/>
  <c r="O52" i="8"/>
  <c r="J53" i="8"/>
  <c r="M53" i="8" s="1"/>
  <c r="K53" i="8"/>
  <c r="L53" i="8"/>
  <c r="N53" i="8"/>
  <c r="O53" i="8"/>
  <c r="O43" i="8"/>
  <c r="N43" i="8"/>
  <c r="L43" i="8"/>
  <c r="K43" i="8"/>
  <c r="J43" i="8"/>
  <c r="M43" i="8" s="1"/>
  <c r="O40" i="8"/>
  <c r="N40" i="8"/>
  <c r="L40" i="8"/>
  <c r="K40" i="8"/>
  <c r="J40" i="8"/>
  <c r="M40" i="8" s="1"/>
  <c r="J31" i="8"/>
  <c r="K31" i="8" s="1"/>
  <c r="O31" i="8"/>
  <c r="N31" i="8"/>
  <c r="M31" i="8"/>
  <c r="L31" i="8"/>
  <c r="M53" i="11" l="1"/>
  <c r="M24" i="11"/>
  <c r="M48" i="11"/>
  <c r="L129" i="4"/>
  <c r="L135" i="4"/>
  <c r="L133" i="4" s="1"/>
  <c r="K125" i="4"/>
  <c r="D24" i="4"/>
  <c r="D20" i="8"/>
  <c r="D12" i="11"/>
  <c r="L138" i="4"/>
  <c r="L136" i="4"/>
  <c r="J134" i="4"/>
  <c r="J123" i="4"/>
  <c r="J122" i="4" s="1"/>
  <c r="L130" i="4"/>
  <c r="L128" i="4" s="1"/>
  <c r="J128" i="4"/>
  <c r="K130" i="4"/>
  <c r="K131" i="4"/>
  <c r="K128" i="4" s="1"/>
  <c r="K124" i="4"/>
  <c r="J120" i="4"/>
  <c r="J116" i="4" s="1"/>
  <c r="L119" i="4"/>
  <c r="L117" i="4"/>
  <c r="L110" i="4"/>
  <c r="L112" i="4"/>
  <c r="L109" i="4" s="1"/>
  <c r="J114" i="4"/>
  <c r="J109" i="4" s="1"/>
  <c r="O103" i="4"/>
  <c r="M116" i="4"/>
  <c r="P116" i="4"/>
  <c r="O122" i="4"/>
  <c r="N122" i="4"/>
  <c r="J103" i="4"/>
  <c r="L104" i="4"/>
  <c r="L103" i="4" s="1"/>
  <c r="I103" i="4"/>
  <c r="Q103" i="4"/>
  <c r="N103" i="4"/>
  <c r="J97" i="4"/>
  <c r="L96" i="4"/>
  <c r="N109" i="4"/>
  <c r="Q109" i="4"/>
  <c r="P109" i="4"/>
  <c r="N128" i="4"/>
  <c r="L100" i="4"/>
  <c r="K116" i="4"/>
  <c r="O133" i="4"/>
  <c r="I109" i="4"/>
  <c r="I128" i="4"/>
  <c r="M128" i="4"/>
  <c r="Q128" i="4"/>
  <c r="O116" i="4"/>
  <c r="K122" i="4"/>
  <c r="P122" i="4"/>
  <c r="I133" i="4"/>
  <c r="J96" i="4"/>
  <c r="O95" i="4"/>
  <c r="J101" i="4"/>
  <c r="I95" i="4"/>
  <c r="N95" i="4"/>
  <c r="K133" i="4"/>
  <c r="K103" i="4"/>
  <c r="L122" i="4"/>
  <c r="O128" i="4"/>
  <c r="M95" i="4"/>
  <c r="Q95" i="4"/>
  <c r="M109" i="4"/>
  <c r="N116" i="4"/>
  <c r="M133" i="4"/>
  <c r="Q133" i="4"/>
  <c r="P103" i="4"/>
  <c r="O109" i="4"/>
  <c r="Q122" i="4"/>
  <c r="P95" i="4"/>
  <c r="M103" i="4"/>
  <c r="K109" i="4"/>
  <c r="I116" i="4"/>
  <c r="Q116" i="4"/>
  <c r="I122" i="4"/>
  <c r="P128" i="4"/>
  <c r="P133" i="4"/>
  <c r="N133" i="4"/>
  <c r="J133" i="4"/>
  <c r="K95" i="4"/>
  <c r="M122" i="4"/>
  <c r="K55" i="11"/>
  <c r="M54" i="11"/>
  <c r="K47" i="11"/>
  <c r="K57" i="11" s="1"/>
  <c r="K17" i="11" s="1"/>
  <c r="M46" i="11"/>
  <c r="K35" i="11"/>
  <c r="M38" i="11"/>
  <c r="M28" i="11"/>
  <c r="M34" i="11"/>
  <c r="K31" i="11"/>
  <c r="M30" i="11"/>
  <c r="N29" i="11"/>
  <c r="N57" i="11" s="1"/>
  <c r="N17" i="11" s="1"/>
  <c r="M23" i="11"/>
  <c r="O57" i="11"/>
  <c r="O17" i="11" s="1"/>
  <c r="L57" i="11"/>
  <c r="L17" i="11" s="1"/>
  <c r="K22" i="10"/>
  <c r="I21" i="10"/>
  <c r="I20" i="10"/>
  <c r="I19" i="10"/>
  <c r="J19" i="10" s="1"/>
  <c r="I18" i="10"/>
  <c r="J18" i="10" s="1"/>
  <c r="I17" i="10"/>
  <c r="I16" i="10"/>
  <c r="I15" i="10"/>
  <c r="I14" i="10"/>
  <c r="D29" i="2"/>
  <c r="H29" i="2" s="1"/>
  <c r="D28" i="2"/>
  <c r="H28" i="2" s="1"/>
  <c r="D25" i="2"/>
  <c r="G25" i="2" s="1"/>
  <c r="D20" i="2"/>
  <c r="D19" i="2"/>
  <c r="D17" i="2"/>
  <c r="D16" i="2"/>
  <c r="D14" i="2"/>
  <c r="G28" i="2"/>
  <c r="H27" i="2"/>
  <c r="G27" i="2"/>
  <c r="H26" i="2"/>
  <c r="G26" i="2"/>
  <c r="H24" i="2"/>
  <c r="G24" i="2"/>
  <c r="H23" i="2"/>
  <c r="G29" i="1"/>
  <c r="G20" i="1"/>
  <c r="H14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8" i="10"/>
  <c r="G19" i="10"/>
  <c r="H18" i="10"/>
  <c r="H19" i="10"/>
  <c r="G20" i="10"/>
  <c r="H20" i="10"/>
  <c r="G21" i="10"/>
  <c r="H21" i="10"/>
  <c r="G14" i="10"/>
  <c r="H17" i="10"/>
  <c r="J17" i="10" s="1"/>
  <c r="H16" i="10"/>
  <c r="H15" i="10"/>
  <c r="H14" i="10"/>
  <c r="G17" i="10"/>
  <c r="G16" i="10"/>
  <c r="G15" i="10"/>
  <c r="J21" i="10" l="1"/>
  <c r="J15" i="10"/>
  <c r="J22" i="10" s="1"/>
  <c r="J16" i="10"/>
  <c r="J20" i="10"/>
  <c r="J14" i="10"/>
  <c r="I22" i="10"/>
  <c r="G17" i="2"/>
  <c r="I17" i="2"/>
  <c r="I14" i="2"/>
  <c r="G14" i="2"/>
  <c r="I20" i="2"/>
  <c r="G20" i="2"/>
  <c r="I16" i="2"/>
  <c r="G16" i="2"/>
  <c r="I19" i="2"/>
  <c r="G19" i="2"/>
  <c r="H14" i="2"/>
  <c r="L95" i="4"/>
  <c r="L116" i="4"/>
  <c r="K141" i="4"/>
  <c r="K19" i="4" s="1"/>
  <c r="Q141" i="4"/>
  <c r="Q19" i="4" s="1"/>
  <c r="J95" i="4"/>
  <c r="J141" i="4" s="1"/>
  <c r="J19" i="4" s="1"/>
  <c r="M141" i="4"/>
  <c r="M19" i="4" s="1"/>
  <c r="O141" i="4"/>
  <c r="O19" i="4" s="1"/>
  <c r="N141" i="4"/>
  <c r="N19" i="4" s="1"/>
  <c r="I141" i="4"/>
  <c r="I19" i="4" s="1"/>
  <c r="P141" i="4"/>
  <c r="P19" i="4" s="1"/>
  <c r="M57" i="11"/>
  <c r="M17" i="11" s="1"/>
  <c r="P17" i="11" s="1"/>
  <c r="G29" i="2"/>
  <c r="G30" i="2" s="1"/>
  <c r="L8" i="2" s="1"/>
  <c r="H25" i="2"/>
  <c r="H30" i="2" s="1"/>
  <c r="H29" i="1"/>
  <c r="G22" i="10"/>
  <c r="K8" i="10" s="1"/>
  <c r="H22" i="10"/>
  <c r="K9" i="10" s="1"/>
  <c r="J49" i="8"/>
  <c r="L49" i="8" s="1"/>
  <c r="J48" i="8"/>
  <c r="N48" i="8" s="1"/>
  <c r="J47" i="8"/>
  <c r="M47" i="8" s="1"/>
  <c r="J46" i="8"/>
  <c r="L46" i="8" s="1"/>
  <c r="J45" i="8"/>
  <c r="N45" i="8" s="1"/>
  <c r="O49" i="8"/>
  <c r="N49" i="8"/>
  <c r="M49" i="8"/>
  <c r="K49" i="8"/>
  <c r="O48" i="8"/>
  <c r="M48" i="8"/>
  <c r="L48" i="8"/>
  <c r="O47" i="8"/>
  <c r="N47" i="8"/>
  <c r="L47" i="8"/>
  <c r="K47" i="8"/>
  <c r="O46" i="8"/>
  <c r="N46" i="8"/>
  <c r="M46" i="8"/>
  <c r="O45" i="8"/>
  <c r="L45" i="8"/>
  <c r="K45" i="8"/>
  <c r="J44" i="8"/>
  <c r="M44" i="8" s="1"/>
  <c r="J42" i="8"/>
  <c r="K42" i="8" s="1"/>
  <c r="J41" i="8"/>
  <c r="K41" i="8" s="1"/>
  <c r="J39" i="8"/>
  <c r="M39" i="8" s="1"/>
  <c r="J38" i="8"/>
  <c r="K38" i="8" s="1"/>
  <c r="J37" i="8"/>
  <c r="L37" i="8" s="1"/>
  <c r="J36" i="8"/>
  <c r="M36" i="8" s="1"/>
  <c r="J35" i="8"/>
  <c r="M35" i="8" s="1"/>
  <c r="J34" i="8"/>
  <c r="K34" i="8" s="1"/>
  <c r="J33" i="8"/>
  <c r="N33" i="8" s="1"/>
  <c r="J32" i="8"/>
  <c r="K32" i="8" s="1"/>
  <c r="J30" i="8"/>
  <c r="M30" i="8" s="1"/>
  <c r="J29" i="8"/>
  <c r="K29" i="8" s="1"/>
  <c r="J28" i="8"/>
  <c r="N28" i="8" s="1"/>
  <c r="O44" i="8"/>
  <c r="N44" i="8"/>
  <c r="L44" i="8"/>
  <c r="O42" i="8"/>
  <c r="N42" i="8"/>
  <c r="M42" i="8"/>
  <c r="L42" i="8"/>
  <c r="O41" i="8"/>
  <c r="N41" i="8"/>
  <c r="M41" i="8"/>
  <c r="L41" i="8"/>
  <c r="O39" i="8"/>
  <c r="N39" i="8"/>
  <c r="L39" i="8"/>
  <c r="K39" i="8"/>
  <c r="O38" i="8"/>
  <c r="N38" i="8"/>
  <c r="M38" i="8"/>
  <c r="L38" i="8"/>
  <c r="O37" i="8"/>
  <c r="N37" i="8"/>
  <c r="M37" i="8"/>
  <c r="O36" i="8"/>
  <c r="N36" i="8"/>
  <c r="L36" i="8"/>
  <c r="K36" i="8"/>
  <c r="O35" i="8"/>
  <c r="N35" i="8"/>
  <c r="L35" i="8"/>
  <c r="K35" i="8"/>
  <c r="O34" i="8"/>
  <c r="N34" i="8"/>
  <c r="M34" i="8"/>
  <c r="L34" i="8"/>
  <c r="O33" i="8"/>
  <c r="L33" i="8"/>
  <c r="K33" i="8"/>
  <c r="O32" i="8"/>
  <c r="N32" i="8"/>
  <c r="L32" i="8"/>
  <c r="O30" i="8"/>
  <c r="N30" i="8"/>
  <c r="L30" i="8"/>
  <c r="O29" i="8"/>
  <c r="M29" i="8"/>
  <c r="O28" i="8"/>
  <c r="L28" i="8"/>
  <c r="K28" i="8"/>
  <c r="J27" i="8"/>
  <c r="L27" i="8" s="1"/>
  <c r="J26" i="8"/>
  <c r="N26" i="8" s="1"/>
  <c r="O27" i="8"/>
  <c r="N27" i="8"/>
  <c r="M27" i="8"/>
  <c r="O26" i="8"/>
  <c r="M26" i="8"/>
  <c r="L26" i="8"/>
  <c r="O25" i="8"/>
  <c r="N25" i="8"/>
  <c r="K25" i="8"/>
  <c r="O24" i="8"/>
  <c r="N24" i="8"/>
  <c r="M24" i="8"/>
  <c r="O23" i="8"/>
  <c r="M23" i="8"/>
  <c r="L23" i="8"/>
  <c r="J25" i="8"/>
  <c r="L25" i="8" s="1"/>
  <c r="J24" i="8"/>
  <c r="L24" i="8" s="1"/>
  <c r="J23" i="8"/>
  <c r="N23" i="8" s="1"/>
  <c r="J21" i="2" l="1"/>
  <c r="I21" i="2"/>
  <c r="K14" i="2"/>
  <c r="L141" i="4"/>
  <c r="L19" i="4" s="1"/>
  <c r="K48" i="8"/>
  <c r="K46" i="8"/>
  <c r="M45" i="8"/>
  <c r="K44" i="8"/>
  <c r="M32" i="8"/>
  <c r="M33" i="8"/>
  <c r="M28" i="8"/>
  <c r="K30" i="8"/>
  <c r="N29" i="8"/>
  <c r="N55" i="8" s="1"/>
  <c r="N17" i="8" s="1"/>
  <c r="K27" i="8"/>
  <c r="K26" i="8"/>
  <c r="M25" i="8"/>
  <c r="K24" i="8"/>
  <c r="K23" i="8"/>
  <c r="O55" i="8"/>
  <c r="O17" i="8" s="1"/>
  <c r="H15" i="2"/>
  <c r="K15" i="2" s="1"/>
  <c r="K37" i="8"/>
  <c r="L29" i="8"/>
  <c r="L55" i="8" s="1"/>
  <c r="L17" i="8" s="1"/>
  <c r="Q83" i="4"/>
  <c r="P83" i="4"/>
  <c r="O83" i="4"/>
  <c r="N83" i="4"/>
  <c r="M83" i="4"/>
  <c r="L83" i="4"/>
  <c r="I83" i="4"/>
  <c r="Q82" i="4"/>
  <c r="P82" i="4"/>
  <c r="O82" i="4"/>
  <c r="N82" i="4"/>
  <c r="M82" i="4"/>
  <c r="L82" i="4"/>
  <c r="I82" i="4"/>
  <c r="Q79" i="4"/>
  <c r="O79" i="4"/>
  <c r="N79" i="4"/>
  <c r="L79" i="4"/>
  <c r="K79" i="4"/>
  <c r="J79" i="4"/>
  <c r="I79" i="4"/>
  <c r="Q78" i="4"/>
  <c r="O78" i="4"/>
  <c r="N78" i="4"/>
  <c r="M78" i="4"/>
  <c r="L78" i="4"/>
  <c r="K78" i="4"/>
  <c r="I78" i="4"/>
  <c r="Q77" i="4"/>
  <c r="P77" i="4"/>
  <c r="O77" i="4"/>
  <c r="L77" i="4"/>
  <c r="K77" i="4"/>
  <c r="J77" i="4"/>
  <c r="I77" i="4"/>
  <c r="Q76" i="4"/>
  <c r="P76" i="4"/>
  <c r="O76" i="4"/>
  <c r="N76" i="4"/>
  <c r="L76" i="4"/>
  <c r="K76" i="4"/>
  <c r="I76" i="4"/>
  <c r="Q75" i="4"/>
  <c r="P75" i="4"/>
  <c r="O75" i="4"/>
  <c r="N75" i="4"/>
  <c r="M75" i="4"/>
  <c r="J75" i="4"/>
  <c r="I75" i="4"/>
  <c r="H83" i="4"/>
  <c r="K83" i="4" s="1"/>
  <c r="H82" i="4"/>
  <c r="J82" i="4" s="1"/>
  <c r="H79" i="4"/>
  <c r="P79" i="4" s="1"/>
  <c r="H78" i="4"/>
  <c r="P78" i="4" s="1"/>
  <c r="H77" i="4"/>
  <c r="M77" i="4" s="1"/>
  <c r="H76" i="4"/>
  <c r="M76" i="4" s="1"/>
  <c r="H75" i="4"/>
  <c r="K75" i="4" s="1"/>
  <c r="Q72" i="4"/>
  <c r="O72" i="4"/>
  <c r="N72" i="4"/>
  <c r="M72" i="4"/>
  <c r="L72" i="4"/>
  <c r="K72" i="4"/>
  <c r="I72" i="4"/>
  <c r="Q71" i="4"/>
  <c r="O71" i="4"/>
  <c r="N71" i="4"/>
  <c r="M71" i="4"/>
  <c r="K71" i="4"/>
  <c r="J71" i="4"/>
  <c r="I71" i="4"/>
  <c r="Q70" i="4"/>
  <c r="P70" i="4"/>
  <c r="O70" i="4"/>
  <c r="N70" i="4"/>
  <c r="L70" i="4"/>
  <c r="K70" i="4"/>
  <c r="I70" i="4"/>
  <c r="Q69" i="4"/>
  <c r="P69" i="4"/>
  <c r="O69" i="4"/>
  <c r="N69" i="4"/>
  <c r="L69" i="4"/>
  <c r="K69" i="4"/>
  <c r="J69" i="4"/>
  <c r="I69" i="4"/>
  <c r="Q68" i="4"/>
  <c r="P68" i="4"/>
  <c r="O68" i="4"/>
  <c r="N68" i="4"/>
  <c r="M68" i="4"/>
  <c r="L68" i="4"/>
  <c r="I68" i="4"/>
  <c r="H72" i="4"/>
  <c r="P72" i="4" s="1"/>
  <c r="H71" i="4"/>
  <c r="P71" i="4" s="1"/>
  <c r="H70" i="4"/>
  <c r="M70" i="4" s="1"/>
  <c r="H69" i="4"/>
  <c r="M69" i="4" s="1"/>
  <c r="H68" i="4"/>
  <c r="K68" i="4" s="1"/>
  <c r="Q65" i="4"/>
  <c r="P65" i="4"/>
  <c r="O65" i="4"/>
  <c r="M65" i="4"/>
  <c r="L65" i="4"/>
  <c r="K65" i="4"/>
  <c r="I65" i="4"/>
  <c r="Q64" i="4"/>
  <c r="P64" i="4"/>
  <c r="O64" i="4"/>
  <c r="L64" i="4"/>
  <c r="K64" i="4"/>
  <c r="J64" i="4"/>
  <c r="I64" i="4"/>
  <c r="Q63" i="4"/>
  <c r="P63" i="4"/>
  <c r="O63" i="4"/>
  <c r="N63" i="4"/>
  <c r="L63" i="4"/>
  <c r="K63" i="4"/>
  <c r="I63" i="4"/>
  <c r="L62" i="4"/>
  <c r="Q62" i="4"/>
  <c r="P62" i="4"/>
  <c r="O62" i="4"/>
  <c r="N62" i="4"/>
  <c r="K62" i="4"/>
  <c r="I62" i="4"/>
  <c r="H65" i="4"/>
  <c r="N65" i="4" s="1"/>
  <c r="H64" i="4"/>
  <c r="N64" i="4" s="1"/>
  <c r="H63" i="4"/>
  <c r="M63" i="4" s="1"/>
  <c r="H62" i="4"/>
  <c r="J62" i="4" s="1"/>
  <c r="Q59" i="4"/>
  <c r="P59" i="4"/>
  <c r="O59" i="4"/>
  <c r="N59" i="4"/>
  <c r="M59" i="4"/>
  <c r="L59" i="4"/>
  <c r="K59" i="4"/>
  <c r="I59" i="4"/>
  <c r="Q58" i="4"/>
  <c r="O58" i="4"/>
  <c r="N58" i="4"/>
  <c r="M58" i="4"/>
  <c r="K58" i="4"/>
  <c r="J58" i="4"/>
  <c r="I58" i="4"/>
  <c r="Q57" i="4"/>
  <c r="O57" i="4"/>
  <c r="N57" i="4"/>
  <c r="M57" i="4"/>
  <c r="K57" i="4"/>
  <c r="J57" i="4"/>
  <c r="I57" i="4"/>
  <c r="Q56" i="4"/>
  <c r="P56" i="4"/>
  <c r="O56" i="4"/>
  <c r="N56" i="4"/>
  <c r="L56" i="4"/>
  <c r="K56" i="4"/>
  <c r="J56" i="4"/>
  <c r="I56" i="4"/>
  <c r="Q55" i="4"/>
  <c r="P55" i="4"/>
  <c r="O55" i="4"/>
  <c r="N55" i="4"/>
  <c r="L55" i="4"/>
  <c r="K55" i="4"/>
  <c r="I55" i="4"/>
  <c r="Q54" i="4"/>
  <c r="P54" i="4"/>
  <c r="O54" i="4"/>
  <c r="N54" i="4"/>
  <c r="L54" i="4"/>
  <c r="J54" i="4"/>
  <c r="I54" i="4"/>
  <c r="H59" i="4"/>
  <c r="J59" i="4" s="1"/>
  <c r="H58" i="4"/>
  <c r="P58" i="4" s="1"/>
  <c r="H57" i="4"/>
  <c r="P57" i="4" s="1"/>
  <c r="H56" i="4"/>
  <c r="M56" i="4" s="1"/>
  <c r="H55" i="4"/>
  <c r="M55" i="4" s="1"/>
  <c r="H54" i="4"/>
  <c r="K54" i="4" s="1"/>
  <c r="K42" i="4"/>
  <c r="Q51" i="4"/>
  <c r="P51" i="4"/>
  <c r="O51" i="4"/>
  <c r="N51" i="4"/>
  <c r="L51" i="4"/>
  <c r="K51" i="4"/>
  <c r="I51" i="4"/>
  <c r="Q50" i="4"/>
  <c r="P50" i="4"/>
  <c r="O50" i="4"/>
  <c r="M50" i="4"/>
  <c r="L50" i="4"/>
  <c r="J50" i="4"/>
  <c r="I50" i="4"/>
  <c r="Q49" i="4"/>
  <c r="P49" i="4"/>
  <c r="O49" i="4"/>
  <c r="M49" i="4"/>
  <c r="K49" i="4"/>
  <c r="J49" i="4"/>
  <c r="I49" i="4"/>
  <c r="Q48" i="4"/>
  <c r="P48" i="4"/>
  <c r="O48" i="4"/>
  <c r="N48" i="4"/>
  <c r="L48" i="4"/>
  <c r="K48" i="4"/>
  <c r="I48" i="4"/>
  <c r="Q47" i="4"/>
  <c r="P47" i="4"/>
  <c r="O47" i="4"/>
  <c r="N47" i="4"/>
  <c r="L47" i="4"/>
  <c r="K47" i="4"/>
  <c r="I47" i="4"/>
  <c r="H51" i="4"/>
  <c r="M51" i="4" s="1"/>
  <c r="H50" i="4"/>
  <c r="N50" i="4" s="1"/>
  <c r="H49" i="4"/>
  <c r="N49" i="4" s="1"/>
  <c r="H48" i="4"/>
  <c r="J48" i="4" s="1"/>
  <c r="H47" i="4"/>
  <c r="M47" i="4" s="1"/>
  <c r="H46" i="4"/>
  <c r="M46" i="4" s="1"/>
  <c r="Q46" i="4"/>
  <c r="P46" i="4"/>
  <c r="O46" i="4"/>
  <c r="N46" i="4"/>
  <c r="L46" i="4"/>
  <c r="K46" i="4"/>
  <c r="J46" i="4"/>
  <c r="I46" i="4"/>
  <c r="Q43" i="4"/>
  <c r="P43" i="4"/>
  <c r="O43" i="4"/>
  <c r="M43" i="4"/>
  <c r="L43" i="4"/>
  <c r="K43" i="4"/>
  <c r="I43" i="4"/>
  <c r="Q42" i="4"/>
  <c r="P42" i="4"/>
  <c r="O42" i="4"/>
  <c r="M42" i="4"/>
  <c r="J42" i="4"/>
  <c r="I42" i="4"/>
  <c r="Q41" i="4"/>
  <c r="P41" i="4"/>
  <c r="O41" i="4"/>
  <c r="N41" i="4"/>
  <c r="L41" i="4"/>
  <c r="K41" i="4"/>
  <c r="I41" i="4"/>
  <c r="H43" i="4"/>
  <c r="N43" i="4" s="1"/>
  <c r="H42" i="4"/>
  <c r="N42" i="4" s="1"/>
  <c r="H41" i="4"/>
  <c r="M41" i="4" s="1"/>
  <c r="H40" i="4"/>
  <c r="M40" i="4" s="1"/>
  <c r="Q40" i="4"/>
  <c r="P40" i="4"/>
  <c r="O40" i="4"/>
  <c r="N40" i="4"/>
  <c r="L40" i="4"/>
  <c r="K40" i="4"/>
  <c r="J40" i="4"/>
  <c r="I40" i="4"/>
  <c r="K35" i="4"/>
  <c r="Q37" i="4"/>
  <c r="Q36" i="4"/>
  <c r="Q35" i="4"/>
  <c r="Q34" i="4"/>
  <c r="Q33" i="4"/>
  <c r="Q32" i="4"/>
  <c r="Q31" i="4"/>
  <c r="Q30" i="4"/>
  <c r="P37" i="4"/>
  <c r="P36" i="4"/>
  <c r="P35" i="4"/>
  <c r="P34" i="4"/>
  <c r="P33" i="4"/>
  <c r="P32" i="4"/>
  <c r="P31" i="4"/>
  <c r="P30" i="4"/>
  <c r="O37" i="4"/>
  <c r="O36" i="4"/>
  <c r="O35" i="4"/>
  <c r="O34" i="4"/>
  <c r="O33" i="4"/>
  <c r="O32" i="4"/>
  <c r="O31" i="4"/>
  <c r="O30" i="4"/>
  <c r="N37" i="4"/>
  <c r="N36" i="4"/>
  <c r="N35" i="4"/>
  <c r="N34" i="4"/>
  <c r="N33" i="4"/>
  <c r="N32" i="4"/>
  <c r="N31" i="4"/>
  <c r="N30" i="4"/>
  <c r="M32" i="4"/>
  <c r="L37" i="4"/>
  <c r="L36" i="4"/>
  <c r="L34" i="4"/>
  <c r="L33" i="4"/>
  <c r="L30" i="4"/>
  <c r="K30" i="4"/>
  <c r="J36" i="4"/>
  <c r="J35" i="4"/>
  <c r="J34" i="4"/>
  <c r="J31" i="4"/>
  <c r="I37" i="4"/>
  <c r="I36" i="4"/>
  <c r="I35" i="4"/>
  <c r="I34" i="4"/>
  <c r="I33" i="4"/>
  <c r="I32" i="4"/>
  <c r="I31" i="4"/>
  <c r="I30" i="4"/>
  <c r="K37" i="4"/>
  <c r="K33" i="4"/>
  <c r="K32" i="4"/>
  <c r="K31" i="4"/>
  <c r="H37" i="4"/>
  <c r="M37" i="4" s="1"/>
  <c r="H36" i="4"/>
  <c r="M36" i="4" s="1"/>
  <c r="H35" i="4"/>
  <c r="M35" i="4" s="1"/>
  <c r="H34" i="4"/>
  <c r="M34" i="4" s="1"/>
  <c r="H33" i="4"/>
  <c r="M33" i="4" s="1"/>
  <c r="H32" i="4"/>
  <c r="J32" i="4" s="1"/>
  <c r="H31" i="4"/>
  <c r="M31" i="4" s="1"/>
  <c r="H30" i="4"/>
  <c r="J30" i="4" s="1"/>
  <c r="J76" i="4" l="1"/>
  <c r="J68" i="4"/>
  <c r="K82" i="4"/>
  <c r="K74" i="4" s="1"/>
  <c r="J83" i="4"/>
  <c r="M79" i="4"/>
  <c r="J78" i="4"/>
  <c r="N77" i="4"/>
  <c r="N74" i="4" s="1"/>
  <c r="L75" i="4"/>
  <c r="L74" i="4" s="1"/>
  <c r="M62" i="4"/>
  <c r="J72" i="4"/>
  <c r="L71" i="4"/>
  <c r="L67" i="4" s="1"/>
  <c r="J70" i="4"/>
  <c r="J65" i="4"/>
  <c r="M64" i="4"/>
  <c r="J63" i="4"/>
  <c r="J61" i="4" s="1"/>
  <c r="L58" i="4"/>
  <c r="L57" i="4"/>
  <c r="J55" i="4"/>
  <c r="J53" i="4" s="1"/>
  <c r="M54" i="4"/>
  <c r="M53" i="4" s="1"/>
  <c r="J47" i="4"/>
  <c r="M48" i="4"/>
  <c r="J51" i="4"/>
  <c r="K50" i="4"/>
  <c r="K45" i="4" s="1"/>
  <c r="L49" i="4"/>
  <c r="L45" i="4" s="1"/>
  <c r="J43" i="4"/>
  <c r="L42" i="4"/>
  <c r="L39" i="4" s="1"/>
  <c r="J41" i="4"/>
  <c r="K36" i="4"/>
  <c r="L32" i="4"/>
  <c r="K34" i="4"/>
  <c r="J37" i="4"/>
  <c r="L35" i="4"/>
  <c r="L31" i="4"/>
  <c r="J33" i="4"/>
  <c r="M30" i="4"/>
  <c r="M29" i="4" s="1"/>
  <c r="M55" i="8"/>
  <c r="M17" i="8" s="1"/>
  <c r="K55" i="8"/>
  <c r="K17" i="8" s="1"/>
  <c r="P17" i="8" s="1"/>
  <c r="K53" i="4"/>
  <c r="O53" i="4"/>
  <c r="K67" i="4"/>
  <c r="I74" i="4"/>
  <c r="N67" i="4"/>
  <c r="M67" i="4"/>
  <c r="O67" i="4"/>
  <c r="M74" i="4"/>
  <c r="Q74" i="4"/>
  <c r="O74" i="4"/>
  <c r="I67" i="4"/>
  <c r="I53" i="4"/>
  <c r="Q61" i="4"/>
  <c r="K61" i="4"/>
  <c r="P61" i="4"/>
  <c r="N53" i="4"/>
  <c r="Q53" i="4"/>
  <c r="L61" i="4"/>
  <c r="Q67" i="4"/>
  <c r="P53" i="4"/>
  <c r="O61" i="4"/>
  <c r="I61" i="4"/>
  <c r="P67" i="4"/>
  <c r="P74" i="4"/>
  <c r="I45" i="4"/>
  <c r="Q45" i="4"/>
  <c r="N61" i="4"/>
  <c r="M45" i="4"/>
  <c r="M39" i="4"/>
  <c r="N39" i="4"/>
  <c r="O45" i="4"/>
  <c r="I39" i="4"/>
  <c r="N45" i="4"/>
  <c r="I29" i="4"/>
  <c r="K39" i="4"/>
  <c r="O39" i="4"/>
  <c r="P45" i="4"/>
  <c r="Q39" i="4"/>
  <c r="P39" i="4"/>
  <c r="Q29" i="4"/>
  <c r="O29" i="4"/>
  <c r="P29" i="4"/>
  <c r="N29" i="4"/>
  <c r="K29" i="4" l="1"/>
  <c r="K86" i="4" s="1"/>
  <c r="K18" i="4" s="1"/>
  <c r="J74" i="4"/>
  <c r="J67" i="4"/>
  <c r="J45" i="4"/>
  <c r="M61" i="4"/>
  <c r="M86" i="4" s="1"/>
  <c r="M18" i="4" s="1"/>
  <c r="L53" i="4"/>
  <c r="J39" i="4"/>
  <c r="J29" i="4"/>
  <c r="L29" i="4"/>
  <c r="P86" i="4"/>
  <c r="P18" i="4" s="1"/>
  <c r="Q86" i="4"/>
  <c r="Q18" i="4" s="1"/>
  <c r="I86" i="4"/>
  <c r="I18" i="4" s="1"/>
  <c r="N86" i="4"/>
  <c r="N18" i="4" s="1"/>
  <c r="O86" i="4"/>
  <c r="O18" i="4" s="1"/>
  <c r="J86" i="4" l="1"/>
  <c r="J18" i="4" s="1"/>
  <c r="L86" i="4"/>
  <c r="L18" i="4" s="1"/>
  <c r="L21" i="4" s="1"/>
  <c r="I21" i="4"/>
  <c r="O21" i="4"/>
  <c r="K21" i="4"/>
  <c r="M21" i="4"/>
  <c r="Q21" i="4"/>
  <c r="N21" i="4"/>
  <c r="J21" i="4"/>
  <c r="P21" i="4"/>
  <c r="R21" i="4" l="1"/>
  <c r="H16" i="2"/>
  <c r="K16" i="2" s="1"/>
  <c r="H17" i="2"/>
  <c r="K17" i="2" s="1"/>
  <c r="H18" i="2"/>
  <c r="K18" i="2" s="1"/>
  <c r="H20" i="2"/>
  <c r="K20" i="2" s="1"/>
  <c r="H19" i="2"/>
  <c r="K19" i="2" s="1"/>
  <c r="J9" i="1"/>
  <c r="J8" i="1"/>
  <c r="K21" i="2" l="1"/>
  <c r="H21" i="2"/>
  <c r="G21" i="2"/>
</calcChain>
</file>

<file path=xl/sharedStrings.xml><?xml version="1.0" encoding="utf-8"?>
<sst xmlns="http://schemas.openxmlformats.org/spreadsheetml/2006/main" count="370" uniqueCount="121">
  <si>
    <t>PILARES</t>
  </si>
  <si>
    <t>REF</t>
  </si>
  <si>
    <t>COMP</t>
  </si>
  <si>
    <t>LARG</t>
  </si>
  <si>
    <t>ALT</t>
  </si>
  <si>
    <t>NÍVEL</t>
  </si>
  <si>
    <t>DIM (M)</t>
  </si>
  <si>
    <t>FÔRMA (M2)</t>
  </si>
  <si>
    <t>CONCRETO (M3)</t>
  </si>
  <si>
    <t>QUANT</t>
  </si>
  <si>
    <t>FORRO</t>
  </si>
  <si>
    <t>TOTAL =</t>
  </si>
  <si>
    <t>OBSERV.</t>
  </si>
  <si>
    <t>LOCALIZ</t>
  </si>
  <si>
    <t>CHECK</t>
  </si>
  <si>
    <t>VIGAS</t>
  </si>
  <si>
    <t>V2</t>
  </si>
  <si>
    <t>V1</t>
  </si>
  <si>
    <t>V3</t>
  </si>
  <si>
    <t>V4</t>
  </si>
  <si>
    <t>V7</t>
  </si>
  <si>
    <t>V5</t>
  </si>
  <si>
    <t>PLATIB</t>
  </si>
  <si>
    <t>V6</t>
  </si>
  <si>
    <t>M2</t>
  </si>
  <si>
    <t>M3</t>
  </si>
  <si>
    <t>FÔRMA =</t>
  </si>
  <si>
    <t>Dados</t>
  </si>
  <si>
    <t>Peso ( kg )</t>
  </si>
  <si>
    <t>N.</t>
  </si>
  <si>
    <t>Q</t>
  </si>
  <si>
    <t>Bitola</t>
  </si>
  <si>
    <t>V 1</t>
  </si>
  <si>
    <t>V 2</t>
  </si>
  <si>
    <t>V 3</t>
  </si>
  <si>
    <t xml:space="preserve"> V 4</t>
  </si>
  <si>
    <t>V 5</t>
  </si>
  <si>
    <t>V 6</t>
  </si>
  <si>
    <t>V 7</t>
  </si>
  <si>
    <t>Pavimento : COBERTURA</t>
  </si>
  <si>
    <t>TOTAL GERAL</t>
  </si>
  <si>
    <t>Listagem de Ferro VIGAS FORRO</t>
  </si>
  <si>
    <t>5.0</t>
  </si>
  <si>
    <t>6.3</t>
  </si>
  <si>
    <t>8.0</t>
  </si>
  <si>
    <t>10.0</t>
  </si>
  <si>
    <t>12.5</t>
  </si>
  <si>
    <t>16.0</t>
  </si>
  <si>
    <t>20.0</t>
  </si>
  <si>
    <t>25.0</t>
  </si>
  <si>
    <t>4.2</t>
  </si>
  <si>
    <t>Comp. (m)</t>
  </si>
  <si>
    <t>Comp tot (m)</t>
  </si>
  <si>
    <t>Listagem de Ferro VIGAS - RESUMO</t>
  </si>
  <si>
    <t>COMP TOT (M)</t>
  </si>
  <si>
    <t>Total Geral =</t>
  </si>
  <si>
    <t>REPÚBLICA FEDERATIVA DO BRASIL</t>
  </si>
  <si>
    <t>MINISTÉRIO DA EDUCAÇÃO</t>
  </si>
  <si>
    <t>INSTITUTO FEDERAL DE EDUCAÇÃO, CIÊNCIA E TECNOLOGIA DO AMAZONAS</t>
  </si>
  <si>
    <t>PRO-REITORIA DE DESENVOLVIMENTO INSTITUCIONAL</t>
  </si>
  <si>
    <t>SECRETARIA DE EDUCAÇÃO MÉDIA  E TECNOLÓGICA</t>
  </si>
  <si>
    <t>CA-50 A</t>
  </si>
  <si>
    <t>PESO (KG)</t>
  </si>
  <si>
    <t>BALDRAME</t>
  </si>
  <si>
    <t>CA-60B</t>
  </si>
  <si>
    <t>Listagem de FERRO PILARES</t>
  </si>
  <si>
    <t>PILAR</t>
  </si>
  <si>
    <t>PILARES ARMADURA NOVA</t>
  </si>
  <si>
    <t>P2</t>
  </si>
  <si>
    <t>P3</t>
  </si>
  <si>
    <t>P4</t>
  </si>
  <si>
    <t>P5</t>
  </si>
  <si>
    <t>P6</t>
  </si>
  <si>
    <t>P7</t>
  </si>
  <si>
    <t>P9</t>
  </si>
  <si>
    <t>P10</t>
  </si>
  <si>
    <t>OBS.:</t>
  </si>
  <si>
    <t>TOTAL (KG)</t>
  </si>
  <si>
    <t>Total por diâmetro de aço =</t>
  </si>
  <si>
    <t>Listagem de Ferro PILARES - RESUMO</t>
  </si>
  <si>
    <t>LOCAL/SITUA</t>
  </si>
  <si>
    <t>CONCRETO FCK 25 MPA =</t>
  </si>
  <si>
    <t>DIRETORIA DE OBRAS E SERVIÇOS DE ENGENHARIA</t>
  </si>
  <si>
    <t>S2</t>
  </si>
  <si>
    <t>FUNDAÇÃO</t>
  </si>
  <si>
    <t>S3</t>
  </si>
  <si>
    <t>S4</t>
  </si>
  <si>
    <t>S5</t>
  </si>
  <si>
    <t>S6</t>
  </si>
  <si>
    <t>S7</t>
  </si>
  <si>
    <t>S9</t>
  </si>
  <si>
    <t>S10</t>
  </si>
  <si>
    <t>CONCRETO FCK 20 MPA =</t>
  </si>
  <si>
    <t>P1 = P8</t>
  </si>
  <si>
    <t>COBERTURA</t>
  </si>
  <si>
    <t>INCLUI V5</t>
  </si>
  <si>
    <t>NÃO INCLUI V7</t>
  </si>
  <si>
    <t>INCLUI V6</t>
  </si>
  <si>
    <t>NÃO INCLUI V1</t>
  </si>
  <si>
    <t>NÃO INCLUI V4 E V3</t>
  </si>
  <si>
    <t>INCLUI V2</t>
  </si>
  <si>
    <t>NÃO INCLUI V3 E V4</t>
  </si>
  <si>
    <t>ESCAVAÇÃO (M3)</t>
  </si>
  <si>
    <t>REATERRO (M3)</t>
  </si>
  <si>
    <t>CONCRETO MAGRO (M3)</t>
  </si>
  <si>
    <t>SAPATAS</t>
  </si>
  <si>
    <t>P1=P8</t>
  </si>
  <si>
    <t>BALDRAME/COBERTURA</t>
  </si>
  <si>
    <t>SAPATA</t>
  </si>
  <si>
    <t>Pavimento : BALDRAME</t>
  </si>
  <si>
    <t>VIGA BALDRAME</t>
  </si>
  <si>
    <t>VIGA COBERTURA</t>
  </si>
  <si>
    <t>Concreto magro h- 5 cm
Abertura da escavação 15cm de cada lado da vala da viga baldrame</t>
  </si>
  <si>
    <t>Área de fôrma =</t>
  </si>
  <si>
    <t>m2</t>
  </si>
  <si>
    <t>ESCAVAÇÃO 30 CM DE CADA LADO
CONCRETO MAGRO COM H = 5CM</t>
  </si>
  <si>
    <t>Listagem de Ferro SAPATA - RESUMO</t>
  </si>
  <si>
    <r>
      <t xml:space="preserve">Obra: </t>
    </r>
    <r>
      <rPr>
        <i/>
        <sz val="10"/>
        <color indexed="8"/>
        <rFont val="Arial"/>
        <family val="2"/>
      </rPr>
      <t>REFORMA E AMPLIAÇÃO DA UNIDADE EDUCACIONAL DE PRODUÇÃO - UEP - CAMPUS LÁBREA</t>
    </r>
  </si>
  <si>
    <r>
      <rPr>
        <b/>
        <i/>
        <sz val="10"/>
        <color indexed="8"/>
        <rFont val="Arial"/>
        <family val="2"/>
      </rPr>
      <t>Endereço</t>
    </r>
    <r>
      <rPr>
        <i/>
        <sz val="10"/>
        <color indexed="8"/>
        <rFont val="Arial"/>
        <family val="2"/>
      </rPr>
      <t xml:space="preserve">: Av. 22 de Outubro, S/Nº. Bairro: Vila Falcão Município: Lábrea/AM – CEP: 69.830-000 </t>
    </r>
  </si>
  <si>
    <t>PESO TOTAL (KG) =</t>
  </si>
  <si>
    <t>VOLUME DE CONCRETO 25 mPa=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</si>
</sst>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indexed="64"/>
      </right>
      <top style="medium">
        <color auto="1"/>
      </top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auto="1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393">
    <xf numFmtId="0" fontId="0" fillId="0" borderId="0" xfId="0"/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/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2" fontId="0" fillId="3" borderId="7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10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0" borderId="36" xfId="0" applyNumberFormat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3" borderId="4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0" xfId="1" applyFont="1"/>
    <xf numFmtId="0" fontId="6" fillId="0" borderId="53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4" fontId="6" fillId="0" borderId="5" xfId="2" applyNumberFormat="1" applyFont="1" applyBorder="1" applyAlignment="1">
      <alignment horizontal="center" vertical="center"/>
    </xf>
    <xf numFmtId="164" fontId="6" fillId="0" borderId="56" xfId="2" applyNumberFormat="1" applyFont="1" applyBorder="1" applyAlignment="1">
      <alignment horizontal="center" vertical="center"/>
    </xf>
    <xf numFmtId="0" fontId="5" fillId="0" borderId="60" xfId="2" applyFont="1" applyFill="1" applyBorder="1" applyAlignment="1">
      <alignment horizontal="center"/>
    </xf>
    <xf numFmtId="1" fontId="5" fillId="0" borderId="8" xfId="2" applyNumberFormat="1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2" fontId="5" fillId="0" borderId="18" xfId="2" applyNumberFormat="1" applyFont="1" applyFill="1" applyBorder="1" applyAlignment="1">
      <alignment horizontal="center"/>
    </xf>
    <xf numFmtId="1" fontId="5" fillId="0" borderId="42" xfId="2" applyNumberFormat="1" applyFont="1" applyFill="1" applyBorder="1" applyAlignment="1">
      <alignment horizontal="center"/>
    </xf>
    <xf numFmtId="165" fontId="5" fillId="0" borderId="42" xfId="2" applyNumberFormat="1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/>
    </xf>
    <xf numFmtId="0" fontId="5" fillId="0" borderId="62" xfId="2" applyFont="1" applyFill="1" applyBorder="1" applyAlignment="1">
      <alignment horizontal="center"/>
    </xf>
    <xf numFmtId="2" fontId="5" fillId="0" borderId="27" xfId="2" applyNumberFormat="1" applyFont="1" applyFill="1" applyBorder="1" applyAlignment="1">
      <alignment horizontal="center"/>
    </xf>
    <xf numFmtId="4" fontId="5" fillId="0" borderId="8" xfId="2" applyNumberFormat="1" applyFont="1" applyBorder="1" applyAlignment="1" applyProtection="1">
      <alignment horizontal="center"/>
    </xf>
    <xf numFmtId="2" fontId="5" fillId="0" borderId="24" xfId="2" applyNumberFormat="1" applyFont="1" applyFill="1" applyBorder="1" applyAlignment="1">
      <alignment horizontal="center"/>
    </xf>
    <xf numFmtId="4" fontId="5" fillId="0" borderId="33" xfId="2" applyNumberFormat="1" applyFont="1" applyBorder="1" applyAlignment="1" applyProtection="1">
      <alignment horizontal="center"/>
    </xf>
    <xf numFmtId="4" fontId="5" fillId="0" borderId="63" xfId="2" applyNumberFormat="1" applyFont="1" applyBorder="1" applyAlignment="1" applyProtection="1">
      <alignment horizontal="center"/>
    </xf>
    <xf numFmtId="165" fontId="5" fillId="0" borderId="65" xfId="2" applyNumberFormat="1" applyFont="1" applyFill="1" applyBorder="1" applyAlignment="1">
      <alignment horizontal="center"/>
    </xf>
    <xf numFmtId="2" fontId="5" fillId="0" borderId="65" xfId="2" applyNumberFormat="1" applyFont="1" applyFill="1" applyBorder="1" applyAlignment="1">
      <alignment horizontal="center"/>
    </xf>
    <xf numFmtId="2" fontId="4" fillId="0" borderId="0" xfId="1" applyNumberFormat="1" applyFont="1"/>
    <xf numFmtId="2" fontId="5" fillId="0" borderId="59" xfId="2" applyNumberFormat="1" applyFont="1" applyFill="1" applyBorder="1" applyAlignment="1">
      <alignment horizontal="center"/>
    </xf>
    <xf numFmtId="4" fontId="6" fillId="2" borderId="69" xfId="2" applyNumberFormat="1" applyFont="1" applyFill="1" applyBorder="1" applyAlignment="1" applyProtection="1">
      <alignment horizontal="center"/>
    </xf>
    <xf numFmtId="4" fontId="6" fillId="4" borderId="76" xfId="2" applyNumberFormat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/>
    </xf>
    <xf numFmtId="4" fontId="6" fillId="4" borderId="21" xfId="2" applyNumberFormat="1" applyFont="1" applyFill="1" applyBorder="1" applyAlignment="1">
      <alignment horizontal="center" vertical="center"/>
    </xf>
    <xf numFmtId="4" fontId="5" fillId="0" borderId="86" xfId="2" applyNumberFormat="1" applyFont="1" applyBorder="1" applyAlignment="1" applyProtection="1">
      <alignment horizontal="center"/>
    </xf>
    <xf numFmtId="4" fontId="5" fillId="2" borderId="8" xfId="2" applyNumberFormat="1" applyFont="1" applyFill="1" applyBorder="1" applyAlignment="1" applyProtection="1">
      <alignment horizontal="center"/>
    </xf>
    <xf numFmtId="4" fontId="6" fillId="6" borderId="87" xfId="2" applyNumberFormat="1" applyFont="1" applyFill="1" applyBorder="1" applyAlignment="1" applyProtection="1">
      <alignment horizontal="center"/>
    </xf>
    <xf numFmtId="0" fontId="6" fillId="0" borderId="0" xfId="2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 applyProtection="1">
      <alignment horizontal="center"/>
    </xf>
    <xf numFmtId="164" fontId="6" fillId="0" borderId="0" xfId="2" applyNumberFormat="1" applyFont="1" applyFill="1" applyBorder="1" applyAlignment="1" applyProtection="1">
      <alignment horizontal="center"/>
    </xf>
    <xf numFmtId="4" fontId="5" fillId="0" borderId="8" xfId="2" applyNumberFormat="1" applyFont="1" applyFill="1" applyBorder="1" applyAlignment="1" applyProtection="1">
      <alignment horizontal="center"/>
    </xf>
    <xf numFmtId="4" fontId="5" fillId="0" borderId="86" xfId="2" applyNumberFormat="1" applyFont="1" applyFill="1" applyBorder="1" applyAlignment="1" applyProtection="1">
      <alignment horizontal="center"/>
    </xf>
    <xf numFmtId="0" fontId="6" fillId="0" borderId="89" xfId="2" applyFont="1" applyBorder="1" applyAlignment="1">
      <alignment horizontal="center" vertical="center"/>
    </xf>
    <xf numFmtId="4" fontId="6" fillId="0" borderId="30" xfId="2" applyNumberFormat="1" applyFont="1" applyFill="1" applyBorder="1" applyAlignment="1">
      <alignment horizontal="center" vertical="center"/>
    </xf>
    <xf numFmtId="4" fontId="6" fillId="0" borderId="7" xfId="2" applyNumberFormat="1" applyFont="1" applyFill="1" applyBorder="1" applyAlignment="1">
      <alignment horizontal="center" vertical="center"/>
    </xf>
    <xf numFmtId="4" fontId="6" fillId="0" borderId="77" xfId="2" applyNumberFormat="1" applyFont="1" applyFill="1" applyBorder="1" applyAlignment="1">
      <alignment horizontal="center" vertical="center"/>
    </xf>
    <xf numFmtId="4" fontId="6" fillId="4" borderId="30" xfId="2" applyNumberFormat="1" applyFont="1" applyFill="1" applyBorder="1" applyAlignment="1">
      <alignment horizontal="center" vertical="center"/>
    </xf>
    <xf numFmtId="4" fontId="6" fillId="4" borderId="7" xfId="2" applyNumberFormat="1" applyFont="1" applyFill="1" applyBorder="1" applyAlignment="1">
      <alignment horizontal="center" vertical="center"/>
    </xf>
    <xf numFmtId="4" fontId="6" fillId="4" borderId="77" xfId="2" applyNumberFormat="1" applyFont="1" applyFill="1" applyBorder="1" applyAlignment="1">
      <alignment horizontal="center" vertical="center"/>
    </xf>
    <xf numFmtId="4" fontId="5" fillId="0" borderId="31" xfId="2" applyNumberFormat="1" applyFont="1" applyBorder="1" applyAlignment="1" applyProtection="1">
      <alignment horizontal="center"/>
    </xf>
    <xf numFmtId="4" fontId="5" fillId="0" borderId="90" xfId="2" applyNumberFormat="1" applyFont="1" applyBorder="1" applyAlignment="1" applyProtection="1">
      <alignment horizontal="center"/>
    </xf>
    <xf numFmtId="4" fontId="5" fillId="0" borderId="91" xfId="2" applyNumberFormat="1" applyFont="1" applyBorder="1" applyAlignment="1" applyProtection="1">
      <alignment horizontal="center"/>
    </xf>
    <xf numFmtId="4" fontId="5" fillId="0" borderId="92" xfId="2" applyNumberFormat="1" applyFont="1" applyBorder="1" applyAlignment="1" applyProtection="1">
      <alignment horizontal="center"/>
    </xf>
    <xf numFmtId="0" fontId="6" fillId="0" borderId="64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93" xfId="2" applyFont="1" applyFill="1" applyBorder="1" applyAlignment="1">
      <alignment horizontal="center"/>
    </xf>
    <xf numFmtId="1" fontId="5" fillId="0" borderId="59" xfId="2" applyNumberFormat="1" applyFont="1" applyFill="1" applyBorder="1" applyAlignment="1">
      <alignment horizontal="center"/>
    </xf>
    <xf numFmtId="165" fontId="5" fillId="0" borderId="59" xfId="2" applyNumberFormat="1" applyFont="1" applyFill="1" applyBorder="1" applyAlignment="1">
      <alignment horizontal="center"/>
    </xf>
    <xf numFmtId="4" fontId="5" fillId="0" borderId="94" xfId="2" applyNumberFormat="1" applyFont="1" applyBorder="1" applyAlignment="1" applyProtection="1">
      <alignment horizontal="center"/>
    </xf>
    <xf numFmtId="4" fontId="5" fillId="0" borderId="12" xfId="2" applyNumberFormat="1" applyFont="1" applyBorder="1" applyAlignment="1" applyProtection="1">
      <alignment horizontal="center"/>
    </xf>
    <xf numFmtId="4" fontId="5" fillId="0" borderId="85" xfId="2" applyNumberFormat="1" applyFont="1" applyBorder="1" applyAlignment="1" applyProtection="1">
      <alignment horizontal="center"/>
    </xf>
    <xf numFmtId="4" fontId="5" fillId="0" borderId="95" xfId="2" applyNumberFormat="1" applyFont="1" applyBorder="1" applyAlignment="1" applyProtection="1">
      <alignment horizontal="center"/>
    </xf>
    <xf numFmtId="0" fontId="5" fillId="0" borderId="96" xfId="2" applyFont="1" applyFill="1" applyBorder="1" applyAlignment="1">
      <alignment horizontal="center"/>
    </xf>
    <xf numFmtId="1" fontId="5" fillId="0" borderId="33" xfId="2" applyNumberFormat="1" applyFont="1" applyFill="1" applyBorder="1" applyAlignment="1">
      <alignment horizontal="center"/>
    </xf>
    <xf numFmtId="165" fontId="5" fillId="0" borderId="33" xfId="2" applyNumberFormat="1" applyFont="1" applyFill="1" applyBorder="1" applyAlignment="1">
      <alignment horizontal="center"/>
    </xf>
    <xf numFmtId="2" fontId="5" fillId="0" borderId="33" xfId="2" applyNumberFormat="1" applyFont="1" applyFill="1" applyBorder="1" applyAlignment="1">
      <alignment horizontal="center"/>
    </xf>
    <xf numFmtId="164" fontId="6" fillId="0" borderId="4" xfId="2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Border="1" applyAlignment="1">
      <alignment vertical="center"/>
    </xf>
    <xf numFmtId="0" fontId="0" fillId="0" borderId="0" xfId="0"/>
    <xf numFmtId="0" fontId="0" fillId="0" borderId="10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63" xfId="0" applyNumberFormat="1" applyBorder="1" applyAlignment="1">
      <alignment horizontal="center" vertical="center"/>
    </xf>
    <xf numFmtId="4" fontId="0" fillId="0" borderId="63" xfId="0" applyNumberFormat="1" applyBorder="1" applyAlignment="1">
      <alignment horizontal="center" vertical="center" wrapText="1"/>
    </xf>
    <xf numFmtId="4" fontId="5" fillId="0" borderId="8" xfId="2" applyNumberFormat="1" applyFont="1" applyBorder="1" applyAlignment="1" applyProtection="1">
      <alignment horizontal="center" vertical="center"/>
    </xf>
    <xf numFmtId="4" fontId="5" fillId="0" borderId="7" xfId="2" applyNumberFormat="1" applyFont="1" applyBorder="1" applyAlignment="1" applyProtection="1">
      <alignment horizontal="center" vertical="center"/>
    </xf>
    <xf numFmtId="2" fontId="5" fillId="0" borderId="10" xfId="2" applyNumberFormat="1" applyFont="1" applyFill="1" applyBorder="1" applyAlignment="1">
      <alignment horizontal="center" vertical="center"/>
    </xf>
    <xf numFmtId="2" fontId="5" fillId="0" borderId="8" xfId="2" applyNumberFormat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1" fontId="5" fillId="0" borderId="9" xfId="2" applyNumberFormat="1" applyFont="1" applyFill="1" applyBorder="1" applyAlignment="1">
      <alignment horizontal="center" vertical="center"/>
    </xf>
    <xf numFmtId="165" fontId="5" fillId="0" borderId="9" xfId="2" applyNumberFormat="1" applyFont="1" applyFill="1" applyBorder="1" applyAlignment="1">
      <alignment horizontal="center" vertical="center"/>
    </xf>
    <xf numFmtId="2" fontId="5" fillId="0" borderId="9" xfId="2" applyNumberFormat="1" applyFont="1" applyFill="1" applyBorder="1" applyAlignment="1">
      <alignment horizontal="center" vertical="center"/>
    </xf>
    <xf numFmtId="4" fontId="5" fillId="0" borderId="30" xfId="2" applyNumberFormat="1" applyFont="1" applyBorder="1" applyAlignment="1" applyProtection="1">
      <alignment horizontal="center" vertical="center"/>
    </xf>
    <xf numFmtId="4" fontId="5" fillId="0" borderId="102" xfId="2" applyNumberFormat="1" applyFont="1" applyBorder="1" applyAlignment="1" applyProtection="1">
      <alignment horizontal="center" vertical="center"/>
    </xf>
    <xf numFmtId="164" fontId="6" fillId="0" borderId="16" xfId="2" applyNumberFormat="1" applyFont="1" applyBorder="1" applyAlignment="1">
      <alignment horizontal="center" vertical="center"/>
    </xf>
    <xf numFmtId="4" fontId="5" fillId="0" borderId="23" xfId="2" applyNumberFormat="1" applyFont="1" applyBorder="1" applyAlignment="1" applyProtection="1">
      <alignment horizontal="center" vertical="center"/>
    </xf>
    <xf numFmtId="4" fontId="5" fillId="0" borderId="24" xfId="2" applyNumberFormat="1" applyFont="1" applyBorder="1" applyAlignment="1" applyProtection="1">
      <alignment horizontal="center" vertical="center"/>
    </xf>
    <xf numFmtId="0" fontId="4" fillId="2" borderId="112" xfId="1" applyFont="1" applyFill="1" applyBorder="1" applyAlignment="1">
      <alignment horizontal="center" vertical="center"/>
    </xf>
    <xf numFmtId="0" fontId="6" fillId="2" borderId="55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164" fontId="6" fillId="2" borderId="4" xfId="2" applyNumberFormat="1" applyFont="1" applyFill="1" applyBorder="1" applyAlignment="1">
      <alignment horizontal="center" vertical="center"/>
    </xf>
    <xf numFmtId="164" fontId="6" fillId="2" borderId="5" xfId="2" applyNumberFormat="1" applyFont="1" applyFill="1" applyBorder="1" applyAlignment="1">
      <alignment horizontal="center" vertical="center"/>
    </xf>
    <xf numFmtId="164" fontId="6" fillId="2" borderId="16" xfId="2" applyNumberFormat="1" applyFont="1" applyFill="1" applyBorder="1" applyAlignment="1">
      <alignment horizontal="center" vertical="center"/>
    </xf>
    <xf numFmtId="0" fontId="4" fillId="0" borderId="119" xfId="1" applyFont="1" applyBorder="1" applyAlignment="1">
      <alignment wrapText="1"/>
    </xf>
    <xf numFmtId="0" fontId="4" fillId="2" borderId="113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9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 wrapText="1"/>
    </xf>
    <xf numFmtId="0" fontId="5" fillId="0" borderId="100" xfId="2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1" fillId="4" borderId="49" xfId="0" applyFont="1" applyFill="1" applyBorder="1" applyAlignment="1">
      <alignment horizontal="right"/>
    </xf>
    <xf numFmtId="2" fontId="1" fillId="4" borderId="49" xfId="0" applyNumberFormat="1" applyFont="1" applyFill="1" applyBorder="1" applyAlignment="1">
      <alignment horizont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54" xfId="0" applyNumberFormat="1" applyFont="1" applyFill="1" applyBorder="1" applyAlignment="1">
      <alignment horizontal="center" vertical="center"/>
    </xf>
    <xf numFmtId="2" fontId="0" fillId="3" borderId="23" xfId="0" applyNumberForma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4" fontId="2" fillId="4" borderId="21" xfId="0" applyNumberFormat="1" applyFont="1" applyFill="1" applyBorder="1" applyAlignment="1">
      <alignment horizontal="center" vertical="center"/>
    </xf>
    <xf numFmtId="4" fontId="2" fillId="4" borderId="4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104" xfId="0" applyNumberFormat="1" applyBorder="1" applyAlignment="1">
      <alignment horizontal="center" vertical="center" wrapText="1"/>
    </xf>
    <xf numFmtId="4" fontId="0" fillId="0" borderId="140" xfId="0" applyNumberFormat="1" applyBorder="1" applyAlignment="1">
      <alignment horizontal="center" vertical="center" wrapText="1"/>
    </xf>
    <xf numFmtId="4" fontId="0" fillId="0" borderId="54" xfId="0" applyNumberForma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6" fillId="0" borderId="72" xfId="2" quotePrefix="1" applyFont="1" applyBorder="1" applyAlignment="1">
      <alignment horizontal="center" vertical="center"/>
    </xf>
    <xf numFmtId="0" fontId="6" fillId="0" borderId="0" xfId="2" quotePrefix="1" applyFont="1" applyBorder="1" applyAlignment="1">
      <alignment horizontal="center" vertical="center"/>
    </xf>
    <xf numFmtId="0" fontId="6" fillId="0" borderId="57" xfId="2" quotePrefix="1" applyFont="1" applyBorder="1" applyAlignment="1">
      <alignment horizontal="center" vertical="center"/>
    </xf>
    <xf numFmtId="0" fontId="6" fillId="2" borderId="72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57" xfId="2" applyFont="1" applyFill="1" applyBorder="1" applyAlignment="1">
      <alignment horizontal="center" vertical="center" wrapText="1"/>
    </xf>
    <xf numFmtId="0" fontId="5" fillId="0" borderId="130" xfId="2" applyFont="1" applyBorder="1" applyAlignment="1">
      <alignment horizontal="center" vertical="center"/>
    </xf>
    <xf numFmtId="0" fontId="5" fillId="0" borderId="71" xfId="2" applyFont="1" applyBorder="1" applyAlignment="1">
      <alignment horizontal="center" vertical="center"/>
    </xf>
    <xf numFmtId="0" fontId="5" fillId="0" borderId="131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01" xfId="2" applyFont="1" applyBorder="1" applyAlignment="1">
      <alignment horizontal="center" vertical="center"/>
    </xf>
    <xf numFmtId="0" fontId="4" fillId="0" borderId="118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116" xfId="1" applyFont="1" applyBorder="1" applyAlignment="1">
      <alignment horizontal="center" vertical="center"/>
    </xf>
    <xf numFmtId="0" fontId="5" fillId="2" borderId="106" xfId="2" applyFont="1" applyFill="1" applyBorder="1" applyAlignment="1">
      <alignment horizontal="center" vertical="center"/>
    </xf>
    <xf numFmtId="0" fontId="5" fillId="2" borderId="80" xfId="2" applyFont="1" applyFill="1" applyBorder="1" applyAlignment="1">
      <alignment horizontal="center" vertical="center"/>
    </xf>
    <xf numFmtId="0" fontId="6" fillId="5" borderId="135" xfId="2" applyFont="1" applyFill="1" applyBorder="1" applyAlignment="1">
      <alignment horizontal="center" vertical="top" wrapText="1"/>
    </xf>
    <xf numFmtId="0" fontId="6" fillId="5" borderId="136" xfId="2" applyFont="1" applyFill="1" applyBorder="1" applyAlignment="1">
      <alignment horizontal="center" vertical="top" wrapText="1"/>
    </xf>
    <xf numFmtId="0" fontId="6" fillId="0" borderId="109" xfId="2" applyFont="1" applyBorder="1" applyAlignment="1">
      <alignment horizontal="center" vertical="center"/>
    </xf>
    <xf numFmtId="0" fontId="6" fillId="0" borderId="110" xfId="2" applyFont="1" applyBorder="1" applyAlignment="1">
      <alignment horizontal="center" vertical="center"/>
    </xf>
    <xf numFmtId="0" fontId="6" fillId="0" borderId="111" xfId="2" applyFont="1" applyBorder="1" applyAlignment="1">
      <alignment horizontal="center" vertical="center"/>
    </xf>
    <xf numFmtId="0" fontId="6" fillId="0" borderId="128" xfId="2" quotePrefix="1" applyFont="1" applyBorder="1" applyAlignment="1">
      <alignment horizontal="center" vertical="center"/>
    </xf>
    <xf numFmtId="0" fontId="6" fillId="0" borderId="99" xfId="2" quotePrefix="1" applyFont="1" applyBorder="1" applyAlignment="1">
      <alignment horizontal="center" vertical="center"/>
    </xf>
    <xf numFmtId="0" fontId="6" fillId="0" borderId="129" xfId="2" quotePrefix="1" applyFont="1" applyBorder="1" applyAlignment="1">
      <alignment horizontal="center" vertical="center"/>
    </xf>
    <xf numFmtId="0" fontId="4" fillId="2" borderId="127" xfId="1" applyFont="1" applyFill="1" applyBorder="1" applyAlignment="1">
      <alignment horizontal="center" vertical="center"/>
    </xf>
    <xf numFmtId="0" fontId="4" fillId="2" borderId="125" xfId="1" applyFont="1" applyFill="1" applyBorder="1" applyAlignment="1">
      <alignment horizontal="center" vertical="center"/>
    </xf>
    <xf numFmtId="0" fontId="6" fillId="2" borderId="126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14" xfId="2" applyFont="1" applyFill="1" applyBorder="1" applyAlignment="1">
      <alignment horizontal="center" vertical="center"/>
    </xf>
    <xf numFmtId="0" fontId="4" fillId="0" borderId="132" xfId="1" applyFont="1" applyBorder="1" applyAlignment="1">
      <alignment horizontal="center" vertical="center"/>
    </xf>
    <xf numFmtId="0" fontId="4" fillId="0" borderId="133" xfId="1" applyFont="1" applyBorder="1" applyAlignment="1">
      <alignment horizontal="center" vertical="center"/>
    </xf>
    <xf numFmtId="0" fontId="5" fillId="0" borderId="83" xfId="2" applyFont="1" applyFill="1" applyBorder="1" applyAlignment="1">
      <alignment horizontal="center" vertical="center"/>
    </xf>
    <xf numFmtId="0" fontId="5" fillId="0" borderId="71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1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6" fillId="0" borderId="74" xfId="2" applyFont="1" applyBorder="1" applyAlignment="1">
      <alignment horizontal="center" vertical="center"/>
    </xf>
    <xf numFmtId="0" fontId="6" fillId="0" borderId="75" xfId="2" applyFont="1" applyBorder="1" applyAlignment="1">
      <alignment horizontal="center" vertical="center"/>
    </xf>
    <xf numFmtId="0" fontId="5" fillId="0" borderId="106" xfId="2" applyFont="1" applyFill="1" applyBorder="1" applyAlignment="1">
      <alignment horizontal="center" vertical="center"/>
    </xf>
    <xf numFmtId="0" fontId="5" fillId="0" borderId="80" xfId="2" applyFont="1" applyFill="1" applyBorder="1" applyAlignment="1">
      <alignment horizontal="center" vertical="center"/>
    </xf>
    <xf numFmtId="0" fontId="5" fillId="0" borderId="107" xfId="2" applyFont="1" applyFill="1" applyBorder="1" applyAlignment="1">
      <alignment horizontal="center" vertical="center"/>
    </xf>
    <xf numFmtId="0" fontId="5" fillId="0" borderId="100" xfId="2" applyFont="1" applyBorder="1" applyAlignment="1">
      <alignment horizontal="center" vertical="center"/>
    </xf>
    <xf numFmtId="0" fontId="5" fillId="0" borderId="108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46" xfId="2" quotePrefix="1" applyFont="1" applyBorder="1" applyAlignment="1">
      <alignment horizontal="center" vertical="center"/>
    </xf>
    <xf numFmtId="0" fontId="6" fillId="0" borderId="35" xfId="2" quotePrefix="1" applyFont="1" applyBorder="1" applyAlignment="1">
      <alignment horizontal="center" vertical="center"/>
    </xf>
    <xf numFmtId="0" fontId="6" fillId="0" borderId="47" xfId="2" quotePrefix="1" applyFont="1" applyBorder="1" applyAlignment="1">
      <alignment horizontal="center" vertical="center"/>
    </xf>
    <xf numFmtId="0" fontId="5" fillId="0" borderId="48" xfId="2" applyFont="1" applyBorder="1" applyAlignment="1">
      <alignment horizontal="left" vertical="center" wrapText="1"/>
    </xf>
    <xf numFmtId="0" fontId="5" fillId="0" borderId="49" xfId="2" applyFont="1" applyBorder="1" applyAlignment="1">
      <alignment horizontal="left" vertical="center" wrapText="1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8" xfId="2" applyFont="1" applyBorder="1" applyAlignment="1">
      <alignment horizontal="center" vertical="center"/>
    </xf>
    <xf numFmtId="0" fontId="6" fillId="4" borderId="58" xfId="2" applyFont="1" applyFill="1" applyBorder="1" applyAlignment="1">
      <alignment horizontal="center"/>
    </xf>
    <xf numFmtId="0" fontId="6" fillId="4" borderId="59" xfId="2" applyFont="1" applyFill="1" applyBorder="1" applyAlignment="1">
      <alignment horizontal="center"/>
    </xf>
    <xf numFmtId="0" fontId="6" fillId="4" borderId="93" xfId="2" applyFont="1" applyFill="1" applyBorder="1" applyAlignment="1">
      <alignment horizontal="center"/>
    </xf>
    <xf numFmtId="0" fontId="6" fillId="0" borderId="58" xfId="2" applyFont="1" applyFill="1" applyBorder="1" applyAlignment="1">
      <alignment horizontal="center"/>
    </xf>
    <xf numFmtId="0" fontId="6" fillId="0" borderId="59" xfId="2" applyFont="1" applyFill="1" applyBorder="1" applyAlignment="1">
      <alignment horizontal="center"/>
    </xf>
    <xf numFmtId="0" fontId="6" fillId="4" borderId="58" xfId="2" applyFont="1" applyFill="1" applyBorder="1" applyAlignment="1">
      <alignment horizontal="center" vertical="center"/>
    </xf>
    <xf numFmtId="0" fontId="6" fillId="4" borderId="59" xfId="2" applyFont="1" applyFill="1" applyBorder="1" applyAlignment="1">
      <alignment horizontal="center" vertical="center"/>
    </xf>
    <xf numFmtId="0" fontId="6" fillId="4" borderId="93" xfId="2" applyFont="1" applyFill="1" applyBorder="1" applyAlignment="1">
      <alignment horizontal="center" vertical="center"/>
    </xf>
    <xf numFmtId="0" fontId="6" fillId="0" borderId="6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2" borderId="81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6" fillId="2" borderId="82" xfId="2" applyFont="1" applyFill="1" applyBorder="1" applyAlignment="1">
      <alignment horizontal="center" vertical="center" wrapText="1"/>
    </xf>
    <xf numFmtId="0" fontId="6" fillId="4" borderId="83" xfId="2" applyFont="1" applyFill="1" applyBorder="1" applyAlignment="1">
      <alignment horizontal="center"/>
    </xf>
    <xf numFmtId="0" fontId="6" fillId="4" borderId="71" xfId="2" applyFont="1" applyFill="1" applyBorder="1" applyAlignment="1">
      <alignment horizontal="center"/>
    </xf>
    <xf numFmtId="0" fontId="6" fillId="5" borderId="58" xfId="2" applyFont="1" applyFill="1" applyBorder="1" applyAlignment="1">
      <alignment horizontal="center" vertical="top" wrapText="1"/>
    </xf>
    <xf numFmtId="0" fontId="6" fillId="5" borderId="59" xfId="2" applyFont="1" applyFill="1" applyBorder="1" applyAlignment="1">
      <alignment horizontal="center" vertical="top" wrapText="1"/>
    </xf>
    <xf numFmtId="0" fontId="6" fillId="2" borderId="58" xfId="2" applyFont="1" applyFill="1" applyBorder="1" applyAlignment="1">
      <alignment horizontal="center" vertical="top" wrapText="1"/>
    </xf>
    <xf numFmtId="0" fontId="6" fillId="2" borderId="59" xfId="2" applyFont="1" applyFill="1" applyBorder="1" applyAlignment="1">
      <alignment horizontal="center" vertical="top" wrapText="1"/>
    </xf>
    <xf numFmtId="0" fontId="6" fillId="0" borderId="58" xfId="2" applyFont="1" applyFill="1" applyBorder="1" applyAlignment="1">
      <alignment horizontal="center" vertical="top" wrapText="1"/>
    </xf>
    <xf numFmtId="0" fontId="6" fillId="0" borderId="59" xfId="2" applyFont="1" applyFill="1" applyBorder="1" applyAlignment="1">
      <alignment horizontal="center" vertical="top" wrapText="1"/>
    </xf>
    <xf numFmtId="0" fontId="6" fillId="0" borderId="78" xfId="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5" fillId="0" borderId="70" xfId="2" applyFont="1" applyFill="1" applyBorder="1" applyAlignment="1">
      <alignment horizontal="center" vertical="center"/>
    </xf>
    <xf numFmtId="0" fontId="5" fillId="0" borderId="5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1" fontId="5" fillId="0" borderId="10" xfId="2" applyNumberFormat="1" applyFont="1" applyFill="1" applyBorder="1" applyAlignment="1">
      <alignment horizontal="center" vertical="center"/>
    </xf>
    <xf numFmtId="165" fontId="5" fillId="0" borderId="10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1" fontId="5" fillId="0" borderId="8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center" vertical="center"/>
    </xf>
    <xf numFmtId="1" fontId="5" fillId="0" borderId="42" xfId="2" applyNumberFormat="1" applyFont="1" applyFill="1" applyBorder="1" applyAlignment="1">
      <alignment horizontal="center" vertical="center"/>
    </xf>
    <xf numFmtId="165" fontId="5" fillId="0" borderId="42" xfId="2" applyNumberFormat="1" applyFont="1" applyFill="1" applyBorder="1" applyAlignment="1">
      <alignment horizontal="center" vertical="center"/>
    </xf>
    <xf numFmtId="2" fontId="5" fillId="0" borderId="42" xfId="2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4" fillId="0" borderId="123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0" fontId="4" fillId="0" borderId="119" xfId="0" applyFont="1" applyBorder="1" applyAlignment="1">
      <alignment wrapText="1"/>
    </xf>
    <xf numFmtId="0" fontId="4" fillId="0" borderId="0" xfId="0" applyFont="1" applyAlignment="1">
      <alignment horizontal="center"/>
    </xf>
    <xf numFmtId="4" fontId="4" fillId="0" borderId="102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4" fontId="4" fillId="0" borderId="122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124" xfId="0" applyNumberFormat="1" applyFont="1" applyBorder="1" applyAlignment="1">
      <alignment horizontal="center" vertical="center"/>
    </xf>
    <xf numFmtId="4" fontId="4" fillId="0" borderId="120" xfId="0" applyNumberFormat="1" applyFont="1" applyBorder="1" applyAlignment="1">
      <alignment horizontal="center" vertical="center"/>
    </xf>
    <xf numFmtId="4" fontId="4" fillId="0" borderId="115" xfId="0" applyNumberFormat="1" applyFont="1" applyBorder="1" applyAlignment="1">
      <alignment horizontal="center" vertical="center"/>
    </xf>
    <xf numFmtId="0" fontId="4" fillId="0" borderId="121" xfId="0" applyFont="1" applyBorder="1" applyAlignment="1">
      <alignment wrapText="1"/>
    </xf>
    <xf numFmtId="4" fontId="4" fillId="0" borderId="0" xfId="0" applyNumberFormat="1" applyFont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42" xfId="0" applyFont="1" applyBorder="1"/>
    <xf numFmtId="4" fontId="7" fillId="0" borderId="143" xfId="0" applyNumberFormat="1" applyFont="1" applyBorder="1" applyAlignment="1">
      <alignment horizontal="center" vertical="center"/>
    </xf>
    <xf numFmtId="4" fontId="7" fillId="0" borderId="144" xfId="0" applyNumberFormat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138" xfId="1" applyFont="1" applyBorder="1" applyAlignment="1">
      <alignment horizontal="center" vertical="center" wrapText="1"/>
    </xf>
    <xf numFmtId="0" fontId="4" fillId="0" borderId="138" xfId="0" applyFont="1" applyBorder="1" applyAlignment="1">
      <alignment horizontal="center" vertical="center" wrapText="1"/>
    </xf>
    <xf numFmtId="0" fontId="4" fillId="0" borderId="137" xfId="0" applyFont="1" applyBorder="1" applyAlignment="1">
      <alignment horizontal="center" vertical="center" wrapText="1"/>
    </xf>
    <xf numFmtId="0" fontId="4" fillId="0" borderId="137" xfId="1" applyFont="1" applyBorder="1" applyAlignment="1">
      <alignment horizontal="center" vertical="center" wrapText="1"/>
    </xf>
    <xf numFmtId="0" fontId="4" fillId="0" borderId="139" xfId="0" applyFont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" fontId="5" fillId="0" borderId="7" xfId="2" applyNumberFormat="1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2" fontId="5" fillId="0" borderId="7" xfId="2" applyNumberFormat="1" applyFont="1" applyFill="1" applyBorder="1" applyAlignment="1">
      <alignment horizontal="center" vertical="center"/>
    </xf>
    <xf numFmtId="0" fontId="5" fillId="0" borderId="120" xfId="2" applyFont="1" applyFill="1" applyBorder="1" applyAlignment="1">
      <alignment horizontal="center" vertical="center"/>
    </xf>
    <xf numFmtId="1" fontId="5" fillId="0" borderId="120" xfId="2" applyNumberFormat="1" applyFont="1" applyFill="1" applyBorder="1" applyAlignment="1">
      <alignment horizontal="center" vertical="center"/>
    </xf>
    <xf numFmtId="165" fontId="5" fillId="0" borderId="120" xfId="2" applyNumberFormat="1" applyFont="1" applyFill="1" applyBorder="1" applyAlignment="1">
      <alignment horizontal="center" vertical="center"/>
    </xf>
    <xf numFmtId="2" fontId="5" fillId="0" borderId="12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6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 wrapText="1"/>
    </xf>
    <xf numFmtId="0" fontId="5" fillId="0" borderId="63" xfId="2" applyFont="1" applyFill="1" applyBorder="1" applyAlignment="1">
      <alignment horizontal="center" vertical="center"/>
    </xf>
    <xf numFmtId="1" fontId="5" fillId="0" borderId="63" xfId="2" applyNumberFormat="1" applyFont="1" applyFill="1" applyBorder="1" applyAlignment="1">
      <alignment horizontal="center" vertical="center"/>
    </xf>
    <xf numFmtId="165" fontId="5" fillId="0" borderId="63" xfId="2" applyNumberFormat="1" applyFont="1" applyFill="1" applyBorder="1" applyAlignment="1">
      <alignment horizontal="center" vertical="center"/>
    </xf>
    <xf numFmtId="2" fontId="5" fillId="0" borderId="63" xfId="2" applyNumberFormat="1" applyFont="1" applyFill="1" applyBorder="1" applyAlignment="1">
      <alignment horizontal="center" vertical="center"/>
    </xf>
    <xf numFmtId="4" fontId="4" fillId="0" borderId="103" xfId="0" applyNumberFormat="1" applyFont="1" applyBorder="1" applyAlignment="1">
      <alignment horizontal="center" vertical="center"/>
    </xf>
    <xf numFmtId="4" fontId="4" fillId="0" borderId="63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/>
    </xf>
    <xf numFmtId="0" fontId="4" fillId="0" borderId="147" xfId="1" applyFont="1" applyBorder="1" applyAlignment="1">
      <alignment horizontal="center" vertical="center"/>
    </xf>
    <xf numFmtId="0" fontId="4" fillId="0" borderId="149" xfId="1" applyFont="1" applyBorder="1" applyAlignment="1">
      <alignment horizontal="center" vertical="center"/>
    </xf>
    <xf numFmtId="0" fontId="4" fillId="0" borderId="150" xfId="1" applyFont="1" applyBorder="1" applyAlignment="1">
      <alignment horizontal="center" vertical="center"/>
    </xf>
    <xf numFmtId="0" fontId="4" fillId="0" borderId="145" xfId="1" applyFont="1" applyBorder="1" applyAlignment="1">
      <alignment horizontal="center" vertical="center" wrapText="1"/>
    </xf>
    <xf numFmtId="4" fontId="5" fillId="0" borderId="90" xfId="2" applyNumberFormat="1" applyFont="1" applyBorder="1" applyAlignment="1" applyProtection="1">
      <alignment horizontal="center" vertical="center"/>
    </xf>
    <xf numFmtId="4" fontId="5" fillId="0" borderId="42" xfId="2" applyNumberFormat="1" applyFont="1" applyBorder="1" applyAlignment="1" applyProtection="1">
      <alignment horizontal="center" vertical="center"/>
    </xf>
    <xf numFmtId="4" fontId="5" fillId="0" borderId="27" xfId="2" applyNumberFormat="1" applyFont="1" applyBorder="1" applyAlignment="1" applyProtection="1">
      <alignment horizontal="center" vertical="center"/>
    </xf>
    <xf numFmtId="0" fontId="4" fillId="0" borderId="132" xfId="1" applyFont="1" applyBorder="1" applyAlignment="1">
      <alignment wrapText="1"/>
    </xf>
    <xf numFmtId="0" fontId="4" fillId="0" borderId="151" xfId="0" applyFont="1" applyBorder="1" applyAlignment="1">
      <alignment wrapText="1"/>
    </xf>
    <xf numFmtId="4" fontId="7" fillId="4" borderId="0" xfId="1" applyNumberFormat="1" applyFont="1" applyFill="1"/>
    <xf numFmtId="0" fontId="0" fillId="0" borderId="134" xfId="0" applyBorder="1"/>
    <xf numFmtId="0" fontId="0" fillId="0" borderId="98" xfId="0" applyBorder="1"/>
    <xf numFmtId="0" fontId="0" fillId="0" borderId="59" xfId="0" applyBorder="1"/>
    <xf numFmtId="0" fontId="0" fillId="0" borderId="61" xfId="0" applyBorder="1"/>
    <xf numFmtId="0" fontId="0" fillId="0" borderId="152" xfId="0" applyBorder="1" applyAlignment="1">
      <alignment horizontal="center" vertical="center"/>
    </xf>
    <xf numFmtId="0" fontId="0" fillId="0" borderId="136" xfId="0" applyBorder="1"/>
    <xf numFmtId="4" fontId="2" fillId="0" borderId="0" xfId="0" applyNumberFormat="1" applyFont="1" applyAlignment="1">
      <alignment horizontal="right"/>
    </xf>
    <xf numFmtId="2" fontId="9" fillId="5" borderId="0" xfId="0" applyNumberFormat="1" applyFont="1" applyFill="1" applyBorder="1" applyAlignment="1">
      <alignment horizontal="left" vertical="center" wrapText="1"/>
    </xf>
    <xf numFmtId="2" fontId="9" fillId="5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142" xfId="0" applyFont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104" xfId="0" applyBorder="1" applyAlignment="1">
      <alignment horizontal="center" vertical="center" wrapText="1"/>
    </xf>
    <xf numFmtId="0" fontId="0" fillId="0" borderId="140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2" fontId="0" fillId="0" borderId="33" xfId="0" applyNumberFormat="1" applyFill="1" applyBorder="1" applyAlignment="1">
      <alignment horizontal="center" vertical="center"/>
    </xf>
    <xf numFmtId="2" fontId="0" fillId="3" borderId="33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5" fillId="4" borderId="32" xfId="2" applyNumberFormat="1" applyFont="1" applyFill="1" applyBorder="1" applyAlignment="1" applyProtection="1">
      <alignment horizontal="center"/>
    </xf>
    <xf numFmtId="4" fontId="5" fillId="4" borderId="33" xfId="2" applyNumberFormat="1" applyFont="1" applyFill="1" applyBorder="1" applyAlignment="1" applyProtection="1">
      <alignment horizontal="center"/>
    </xf>
    <xf numFmtId="4" fontId="5" fillId="4" borderId="20" xfId="2" applyNumberFormat="1" applyFont="1" applyFill="1" applyBorder="1" applyAlignment="1" applyProtection="1">
      <alignment horizontal="center"/>
    </xf>
    <xf numFmtId="4" fontId="4" fillId="4" borderId="133" xfId="1" applyNumberFormat="1" applyFont="1" applyFill="1" applyBorder="1" applyAlignment="1">
      <alignment horizontal="center" vertical="center"/>
    </xf>
    <xf numFmtId="4" fontId="5" fillId="2" borderId="86" xfId="2" applyNumberFormat="1" applyFont="1" applyFill="1" applyBorder="1" applyAlignment="1" applyProtection="1">
      <alignment horizontal="center"/>
    </xf>
    <xf numFmtId="4" fontId="6" fillId="6" borderId="154" xfId="2" applyNumberFormat="1" applyFont="1" applyFill="1" applyBorder="1" applyAlignment="1" applyProtection="1">
      <alignment horizontal="center"/>
    </xf>
  </cellXfs>
  <cellStyles count="4">
    <cellStyle name="Normal" xfId="0" builtinId="0"/>
    <cellStyle name="Normal 2 2" xfId="1"/>
    <cellStyle name="Normal 3 2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152400</xdr:rowOff>
    </xdr:from>
    <xdr:to>
      <xdr:col>11</xdr:col>
      <xdr:colOff>1181101</xdr:colOff>
      <xdr:row>4</xdr:row>
      <xdr:rowOff>85725</xdr:rowOff>
    </xdr:to>
    <xdr:pic>
      <xdr:nvPicPr>
        <xdr:cNvPr id="4" name="Imagem 3" descr="ScreenShot002">
          <a:extLst>
            <a:ext uri="{FF2B5EF4-FFF2-40B4-BE49-F238E27FC236}">
              <a16:creationId xmlns:a16="http://schemas.microsoft.com/office/drawing/2014/main" xmlns="" id="{DD2AAB24-19D4-45E7-86F2-0C2CE6686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52400"/>
          <a:ext cx="116205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66675</xdr:colOff>
      <xdr:row>4</xdr:row>
      <xdr:rowOff>47625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AAF2742F-BEAB-40F9-91AC-360C442E7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152400</xdr:rowOff>
    </xdr:from>
    <xdr:to>
      <xdr:col>10</xdr:col>
      <xdr:colOff>495301</xdr:colOff>
      <xdr:row>4</xdr:row>
      <xdr:rowOff>85725</xdr:rowOff>
    </xdr:to>
    <xdr:pic>
      <xdr:nvPicPr>
        <xdr:cNvPr id="2" name="Imagem 1" descr="ScreenShot00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52400"/>
          <a:ext cx="179070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114300</xdr:rowOff>
    </xdr:from>
    <xdr:to>
      <xdr:col>0</xdr:col>
      <xdr:colOff>1009428</xdr:colOff>
      <xdr:row>5</xdr:row>
      <xdr:rowOff>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85702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857251</xdr:colOff>
      <xdr:row>1</xdr:row>
      <xdr:rowOff>123825</xdr:rowOff>
    </xdr:from>
    <xdr:to>
      <xdr:col>12</xdr:col>
      <xdr:colOff>962026</xdr:colOff>
      <xdr:row>5</xdr:row>
      <xdr:rowOff>57150</xdr:rowOff>
    </xdr:to>
    <xdr:pic>
      <xdr:nvPicPr>
        <xdr:cNvPr id="3" name="Imagem 1" descr="ScreenShot00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6" y="285750"/>
          <a:ext cx="15430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114300</xdr:rowOff>
    </xdr:from>
    <xdr:to>
      <xdr:col>1</xdr:col>
      <xdr:colOff>485553</xdr:colOff>
      <xdr:row>5</xdr:row>
      <xdr:rowOff>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85702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76200</xdr:rowOff>
    </xdr:from>
    <xdr:to>
      <xdr:col>4</xdr:col>
      <xdr:colOff>447453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76200"/>
          <a:ext cx="85702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238125</xdr:colOff>
      <xdr:row>1</xdr:row>
      <xdr:rowOff>76200</xdr:rowOff>
    </xdr:from>
    <xdr:to>
      <xdr:col>15</xdr:col>
      <xdr:colOff>830917</xdr:colOff>
      <xdr:row>4</xdr:row>
      <xdr:rowOff>151279</xdr:rowOff>
    </xdr:to>
    <xdr:pic>
      <xdr:nvPicPr>
        <xdr:cNvPr id="3" name="Imagem 2" descr="ScreenShot00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238125"/>
          <a:ext cx="1202392" cy="560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76200</xdr:rowOff>
    </xdr:from>
    <xdr:to>
      <xdr:col>4</xdr:col>
      <xdr:colOff>447453</xdr:colOff>
      <xdr:row>5</xdr:row>
      <xdr:rowOff>47625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76200"/>
          <a:ext cx="85702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190500</xdr:colOff>
      <xdr:row>1</xdr:row>
      <xdr:rowOff>57150</xdr:rowOff>
    </xdr:from>
    <xdr:to>
      <xdr:col>15</xdr:col>
      <xdr:colOff>783292</xdr:colOff>
      <xdr:row>4</xdr:row>
      <xdr:rowOff>132229</xdr:rowOff>
    </xdr:to>
    <xdr:pic>
      <xdr:nvPicPr>
        <xdr:cNvPr id="4" name="Imagem 3" descr="ScreenShot00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19075"/>
          <a:ext cx="1202392" cy="560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</xdr:row>
      <xdr:rowOff>9525</xdr:rowOff>
    </xdr:from>
    <xdr:to>
      <xdr:col>16</xdr:col>
      <xdr:colOff>457201</xdr:colOff>
      <xdr:row>4</xdr:row>
      <xdr:rowOff>104775</xdr:rowOff>
    </xdr:to>
    <xdr:pic>
      <xdr:nvPicPr>
        <xdr:cNvPr id="2" name="Imagem 1" descr="ScreenShot0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171450"/>
          <a:ext cx="97155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200025</xdr:colOff>
      <xdr:row>0</xdr:row>
      <xdr:rowOff>76200</xdr:rowOff>
    </xdr:from>
    <xdr:to>
      <xdr:col>4</xdr:col>
      <xdr:colOff>447453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76200"/>
          <a:ext cx="85702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G20" sqref="G20"/>
    </sheetView>
  </sheetViews>
  <sheetFormatPr defaultRowHeight="15" x14ac:dyDescent="0.25"/>
  <cols>
    <col min="1" max="1" width="10" customWidth="1"/>
    <col min="3" max="3" width="12.28515625" bestFit="1" customWidth="1"/>
    <col min="7" max="7" width="12.42578125" bestFit="1" customWidth="1"/>
    <col min="8" max="8" width="15.5703125" bestFit="1" customWidth="1"/>
    <col min="9" max="9" width="16.7109375" style="120" bestFit="1" customWidth="1"/>
    <col min="10" max="10" width="30.7109375" style="120" bestFit="1" customWidth="1"/>
    <col min="11" max="11" width="15.5703125" style="120" customWidth="1"/>
    <col min="12" max="12" width="21.7109375" customWidth="1"/>
  </cols>
  <sheetData>
    <row r="1" spans="1:12" s="120" customFormat="1" ht="12.95" customHeight="1" x14ac:dyDescent="0.25">
      <c r="A1" s="184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s="120" customFormat="1" ht="12.95" customHeight="1" x14ac:dyDescent="0.25">
      <c r="A2" s="184" t="s">
        <v>57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20" customFormat="1" ht="12.95" customHeight="1" x14ac:dyDescent="0.25">
      <c r="A3" s="184" t="s">
        <v>60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s="120" customFormat="1" ht="12.95" customHeight="1" x14ac:dyDescent="0.25">
      <c r="A4" s="184" t="s">
        <v>58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2" s="120" customFormat="1" ht="12.95" customHeight="1" x14ac:dyDescent="0.25">
      <c r="A5" s="184" t="s">
        <v>59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s="120" customFormat="1" ht="12.95" customHeight="1" x14ac:dyDescent="0.25">
      <c r="A6" s="184" t="s">
        <v>82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2" s="120" customFormat="1" ht="5.0999999999999996" customHeight="1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1:12" s="120" customFormat="1" ht="18.75" x14ac:dyDescent="0.3">
      <c r="A8" s="119" t="s">
        <v>117</v>
      </c>
      <c r="J8" s="41" t="s">
        <v>26</v>
      </c>
      <c r="K8" s="44">
        <f>G22</f>
        <v>9.9599999999999991</v>
      </c>
      <c r="L8" s="43" t="s">
        <v>24</v>
      </c>
    </row>
    <row r="9" spans="1:12" s="120" customFormat="1" ht="18.75" x14ac:dyDescent="0.3">
      <c r="A9" s="181" t="s">
        <v>118</v>
      </c>
      <c r="B9" s="181"/>
      <c r="C9" s="181"/>
      <c r="D9" s="181"/>
      <c r="E9" s="181"/>
      <c r="F9" s="181"/>
      <c r="G9" s="181"/>
      <c r="H9" s="181"/>
      <c r="I9" s="181"/>
      <c r="J9" s="41" t="s">
        <v>92</v>
      </c>
      <c r="K9" s="44">
        <f>H22</f>
        <v>2.5815000000000001</v>
      </c>
      <c r="L9" s="43" t="s">
        <v>25</v>
      </c>
    </row>
    <row r="10" spans="1:12" s="120" customFormat="1" ht="5.0999999999999996" customHeight="1" x14ac:dyDescent="0.3">
      <c r="A10" s="155"/>
      <c r="B10" s="155"/>
      <c r="C10" s="155"/>
      <c r="D10" s="155"/>
      <c r="E10" s="155"/>
      <c r="F10" s="155"/>
      <c r="G10" s="155"/>
      <c r="H10" s="155"/>
      <c r="I10" s="155"/>
      <c r="L10" s="44"/>
    </row>
    <row r="11" spans="1:12" s="120" customFormat="1" ht="15.75" thickBot="1" x14ac:dyDescent="0.3">
      <c r="A11" s="3" t="s">
        <v>105</v>
      </c>
    </row>
    <row r="12" spans="1:12" s="120" customFormat="1" x14ac:dyDescent="0.25">
      <c r="A12" s="182" t="s">
        <v>1</v>
      </c>
      <c r="B12" s="171" t="s">
        <v>9</v>
      </c>
      <c r="C12" s="171" t="s">
        <v>5</v>
      </c>
      <c r="D12" s="171" t="s">
        <v>6</v>
      </c>
      <c r="E12" s="171"/>
      <c r="F12" s="171"/>
      <c r="G12" s="171" t="s">
        <v>7</v>
      </c>
      <c r="H12" s="173" t="s">
        <v>8</v>
      </c>
      <c r="I12" s="175" t="s">
        <v>102</v>
      </c>
      <c r="J12" s="175" t="s">
        <v>103</v>
      </c>
      <c r="K12" s="179" t="s">
        <v>104</v>
      </c>
      <c r="L12" s="177" t="s">
        <v>12</v>
      </c>
    </row>
    <row r="13" spans="1:12" s="120" customFormat="1" ht="15.75" thickBot="1" x14ac:dyDescent="0.3">
      <c r="A13" s="183"/>
      <c r="B13" s="172"/>
      <c r="C13" s="172"/>
      <c r="D13" s="150" t="s">
        <v>2</v>
      </c>
      <c r="E13" s="150" t="s">
        <v>3</v>
      </c>
      <c r="F13" s="150" t="s">
        <v>4</v>
      </c>
      <c r="G13" s="172"/>
      <c r="H13" s="174"/>
      <c r="I13" s="176"/>
      <c r="J13" s="176"/>
      <c r="K13" s="180"/>
      <c r="L13" s="178"/>
    </row>
    <row r="14" spans="1:12" s="120" customFormat="1" x14ac:dyDescent="0.25">
      <c r="A14" s="39" t="s">
        <v>83</v>
      </c>
      <c r="B14" s="151">
        <v>1</v>
      </c>
      <c r="C14" s="151" t="s">
        <v>84</v>
      </c>
      <c r="D14" s="4">
        <v>0.9</v>
      </c>
      <c r="E14" s="4">
        <v>0.9</v>
      </c>
      <c r="F14" s="4">
        <v>0.3</v>
      </c>
      <c r="G14" s="8">
        <f>(((2*D14+2*E14)*F14))*B14</f>
        <v>1.08</v>
      </c>
      <c r="H14" s="8">
        <f>((D14*E14*F14))*B14</f>
        <v>0.24299999999999999</v>
      </c>
      <c r="I14" s="166">
        <f>(D14+0.6)*(E14+0.6)*1.5</f>
        <v>3.375</v>
      </c>
      <c r="J14" s="166">
        <f>I14-H14-K14</f>
        <v>3.0914999999999999</v>
      </c>
      <c r="K14" s="166">
        <f>D14*E14*0.05</f>
        <v>4.0500000000000008E-2</v>
      </c>
      <c r="L14" s="373" t="s">
        <v>115</v>
      </c>
    </row>
    <row r="15" spans="1:12" s="120" customFormat="1" x14ac:dyDescent="0.25">
      <c r="A15" s="149" t="s">
        <v>85</v>
      </c>
      <c r="B15" s="23">
        <v>1</v>
      </c>
      <c r="C15" s="23" t="s">
        <v>84</v>
      </c>
      <c r="D15" s="5">
        <v>1.25</v>
      </c>
      <c r="E15" s="5">
        <v>1.25</v>
      </c>
      <c r="F15" s="5">
        <v>0.3</v>
      </c>
      <c r="G15" s="9">
        <f t="shared" ref="G15:G17" si="0">(((2*D15+2*E15)*F15))*B15</f>
        <v>1.5</v>
      </c>
      <c r="H15" s="9">
        <f t="shared" ref="H15:H17" si="1">((D15*E15*F15))*B15</f>
        <v>0.46875</v>
      </c>
      <c r="I15" s="167">
        <f t="shared" ref="I15:I21" si="2">(D15+0.6)*(E15+0.6)*1.5</f>
        <v>5.1337500000000009</v>
      </c>
      <c r="J15" s="167">
        <f t="shared" ref="J15:J21" si="3">I15-H15-K15</f>
        <v>4.5868750000000009</v>
      </c>
      <c r="K15" s="167">
        <f t="shared" ref="K15:K21" si="4">D15*E15*0.05</f>
        <v>7.8125E-2</v>
      </c>
      <c r="L15" s="374"/>
    </row>
    <row r="16" spans="1:12" s="120" customFormat="1" x14ac:dyDescent="0.25">
      <c r="A16" s="149" t="s">
        <v>86</v>
      </c>
      <c r="B16" s="23">
        <v>1</v>
      </c>
      <c r="C16" s="23" t="s">
        <v>84</v>
      </c>
      <c r="D16" s="5">
        <v>1</v>
      </c>
      <c r="E16" s="5">
        <v>1</v>
      </c>
      <c r="F16" s="5">
        <v>0.3</v>
      </c>
      <c r="G16" s="9">
        <f t="shared" si="0"/>
        <v>1.2</v>
      </c>
      <c r="H16" s="9">
        <f t="shared" si="1"/>
        <v>0.3</v>
      </c>
      <c r="I16" s="167">
        <f t="shared" si="2"/>
        <v>3.8400000000000007</v>
      </c>
      <c r="J16" s="167">
        <f t="shared" si="3"/>
        <v>3.4900000000000011</v>
      </c>
      <c r="K16" s="167">
        <f t="shared" si="4"/>
        <v>0.05</v>
      </c>
      <c r="L16" s="374"/>
    </row>
    <row r="17" spans="1:12" s="120" customFormat="1" x14ac:dyDescent="0.25">
      <c r="A17" s="149" t="s">
        <v>87</v>
      </c>
      <c r="B17" s="23">
        <v>1</v>
      </c>
      <c r="C17" s="23" t="s">
        <v>84</v>
      </c>
      <c r="D17" s="5">
        <v>1</v>
      </c>
      <c r="E17" s="5">
        <v>1</v>
      </c>
      <c r="F17" s="5">
        <v>0.3</v>
      </c>
      <c r="G17" s="9">
        <f t="shared" si="0"/>
        <v>1.2</v>
      </c>
      <c r="H17" s="9">
        <f t="shared" si="1"/>
        <v>0.3</v>
      </c>
      <c r="I17" s="168">
        <f t="shared" si="2"/>
        <v>3.8400000000000007</v>
      </c>
      <c r="J17" s="168">
        <f t="shared" si="3"/>
        <v>3.4900000000000011</v>
      </c>
      <c r="K17" s="168">
        <f t="shared" si="4"/>
        <v>0.05</v>
      </c>
      <c r="L17" s="374"/>
    </row>
    <row r="18" spans="1:12" s="120" customFormat="1" x14ac:dyDescent="0.25">
      <c r="A18" s="149" t="s">
        <v>88</v>
      </c>
      <c r="B18" s="52">
        <v>1</v>
      </c>
      <c r="C18" s="52" t="s">
        <v>84</v>
      </c>
      <c r="D18" s="53">
        <v>1.2</v>
      </c>
      <c r="E18" s="53">
        <v>1.2</v>
      </c>
      <c r="F18" s="53">
        <v>0.35</v>
      </c>
      <c r="G18" s="9">
        <f>(((2*D18+2*E18)*F18))*B18</f>
        <v>1.68</v>
      </c>
      <c r="H18" s="9">
        <f t="shared" ref="H18:H21" si="5">((D18*E18*F18))*B18</f>
        <v>0.504</v>
      </c>
      <c r="I18" s="168">
        <f t="shared" si="2"/>
        <v>4.8599999999999994</v>
      </c>
      <c r="J18" s="168">
        <f t="shared" si="3"/>
        <v>4.2839999999999998</v>
      </c>
      <c r="K18" s="168">
        <f t="shared" si="4"/>
        <v>7.1999999999999995E-2</v>
      </c>
      <c r="L18" s="374"/>
    </row>
    <row r="19" spans="1:12" s="120" customFormat="1" x14ac:dyDescent="0.25">
      <c r="A19" s="149" t="s">
        <v>89</v>
      </c>
      <c r="B19" s="52">
        <v>1</v>
      </c>
      <c r="C19" s="52" t="s">
        <v>84</v>
      </c>
      <c r="D19" s="53">
        <v>0.8</v>
      </c>
      <c r="E19" s="53">
        <v>0.8</v>
      </c>
      <c r="F19" s="53">
        <v>0.3</v>
      </c>
      <c r="G19" s="9">
        <f>(((2*D19+2*E19)*F19))*B19</f>
        <v>0.96</v>
      </c>
      <c r="H19" s="9">
        <f t="shared" si="5"/>
        <v>0.19200000000000003</v>
      </c>
      <c r="I19" s="168">
        <f t="shared" si="2"/>
        <v>2.9399999999999995</v>
      </c>
      <c r="J19" s="168">
        <f t="shared" si="3"/>
        <v>2.7159999999999993</v>
      </c>
      <c r="K19" s="168">
        <f t="shared" si="4"/>
        <v>3.2000000000000008E-2</v>
      </c>
      <c r="L19" s="374"/>
    </row>
    <row r="20" spans="1:12" s="120" customFormat="1" x14ac:dyDescent="0.25">
      <c r="A20" s="149" t="s">
        <v>90</v>
      </c>
      <c r="B20" s="52">
        <v>1</v>
      </c>
      <c r="C20" s="52" t="s">
        <v>84</v>
      </c>
      <c r="D20" s="53">
        <v>0.9</v>
      </c>
      <c r="E20" s="53">
        <v>0.9</v>
      </c>
      <c r="F20" s="53">
        <v>0.3</v>
      </c>
      <c r="G20" s="9">
        <f t="shared" ref="G20:G21" si="6">(((2*D20+2*E20)*F20))*B20</f>
        <v>1.08</v>
      </c>
      <c r="H20" s="9">
        <f t="shared" si="5"/>
        <v>0.24299999999999999</v>
      </c>
      <c r="I20" s="168">
        <f t="shared" si="2"/>
        <v>3.375</v>
      </c>
      <c r="J20" s="168">
        <f t="shared" si="3"/>
        <v>3.0914999999999999</v>
      </c>
      <c r="K20" s="168">
        <f t="shared" si="4"/>
        <v>4.0500000000000008E-2</v>
      </c>
      <c r="L20" s="374"/>
    </row>
    <row r="21" spans="1:12" s="120" customFormat="1" ht="15.75" thickBot="1" x14ac:dyDescent="0.3">
      <c r="A21" s="40" t="s">
        <v>91</v>
      </c>
      <c r="B21" s="52">
        <v>1</v>
      </c>
      <c r="C21" s="52" t="s">
        <v>84</v>
      </c>
      <c r="D21" s="53">
        <v>1.05</v>
      </c>
      <c r="E21" s="53">
        <v>1.05</v>
      </c>
      <c r="F21" s="53">
        <v>0.3</v>
      </c>
      <c r="G21" s="54">
        <f t="shared" si="6"/>
        <v>1.26</v>
      </c>
      <c r="H21" s="54">
        <f t="shared" si="5"/>
        <v>0.33074999999999999</v>
      </c>
      <c r="I21" s="168">
        <f t="shared" si="2"/>
        <v>4.0837499999999993</v>
      </c>
      <c r="J21" s="168">
        <f t="shared" si="3"/>
        <v>3.6978749999999994</v>
      </c>
      <c r="K21" s="168">
        <f t="shared" si="4"/>
        <v>5.5125000000000007E-2</v>
      </c>
      <c r="L21" s="375"/>
    </row>
    <row r="22" spans="1:12" ht="15.75" thickBot="1" x14ac:dyDescent="0.3">
      <c r="A22" s="159"/>
      <c r="B22" s="160"/>
      <c r="C22" s="160"/>
      <c r="D22" s="160"/>
      <c r="E22" s="160"/>
      <c r="F22" s="162" t="s">
        <v>11</v>
      </c>
      <c r="G22" s="163">
        <f>SUM(G14:G21)</f>
        <v>9.9599999999999991</v>
      </c>
      <c r="H22" s="163">
        <f>SUM(H14:H21)</f>
        <v>2.5815000000000001</v>
      </c>
      <c r="I22" s="163">
        <f>SUM(I14:I21)</f>
        <v>31.447500000000002</v>
      </c>
      <c r="J22" s="163">
        <f>SUM(J14:J21)</f>
        <v>28.447749999999999</v>
      </c>
      <c r="K22" s="163">
        <f>SUM(K14:K21)</f>
        <v>0.41825000000000001</v>
      </c>
      <c r="L22" s="161"/>
    </row>
  </sheetData>
  <mergeCells count="18">
    <mergeCell ref="A6:L6"/>
    <mergeCell ref="L14:L21"/>
    <mergeCell ref="A9:I9"/>
    <mergeCell ref="A1:L1"/>
    <mergeCell ref="A2:L2"/>
    <mergeCell ref="A3:L3"/>
    <mergeCell ref="A4:L4"/>
    <mergeCell ref="A5:L5"/>
    <mergeCell ref="A12:A13"/>
    <mergeCell ref="B12:B13"/>
    <mergeCell ref="C12:C13"/>
    <mergeCell ref="D12:F12"/>
    <mergeCell ref="G12:G13"/>
    <mergeCell ref="H12:H13"/>
    <mergeCell ref="L12:L13"/>
    <mergeCell ref="I12:I13"/>
    <mergeCell ref="J12:J13"/>
    <mergeCell ref="K12:K13"/>
  </mergeCells>
  <printOptions horizontalCentered="1"/>
  <pageMargins left="0.51181102362204722" right="0.51181102362204722" top="0.78740157480314965" bottom="0.78740157480314965" header="0.31496062992125984" footer="0.31496062992125984"/>
  <pageSetup scale="74" orientation="landscape" r:id="rId1"/>
  <headerFooter>
    <oddFooter>&amp;C&amp;9Rua Ferreira Pena, 1.109 – Centro – Manaus/AM – Cel: (0**92) 98415-0793, Fone: (0**92) 3306-0045 – e-mail: enge.ifam@ifam.edu.br 
DIRETORIA DE OBRAS E SERVIÇOS DE ENGENHARIA - DOSE/IFAM&amp;R&amp;9Página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29"/>
  <sheetViews>
    <sheetView workbookViewId="0">
      <pane ySplit="13" topLeftCell="A14" activePane="bottomLeft" state="frozen"/>
      <selection pane="bottomLeft" activeCell="J21" sqref="J21"/>
    </sheetView>
  </sheetViews>
  <sheetFormatPr defaultRowHeight="15" x14ac:dyDescent="0.25"/>
  <cols>
    <col min="1" max="1" width="20.5703125" customWidth="1"/>
    <col min="3" max="3" width="12.28515625" bestFit="1" customWidth="1"/>
    <col min="7" max="7" width="12.42578125" bestFit="1" customWidth="1"/>
    <col min="8" max="8" width="15.5703125" bestFit="1" customWidth="1"/>
    <col min="9" max="9" width="17.5703125" customWidth="1"/>
    <col min="10" max="10" width="13.28515625" customWidth="1"/>
    <col min="11" max="11" width="9.140625" style="1"/>
  </cols>
  <sheetData>
    <row r="1" spans="1:11" ht="12.95" customHeight="1" x14ac:dyDescent="0.25">
      <c r="A1" s="184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2.95" customHeight="1" x14ac:dyDescent="0.25">
      <c r="A2" s="184" t="s">
        <v>57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2.95" customHeight="1" x14ac:dyDescent="0.25">
      <c r="A3" s="184" t="s">
        <v>60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2.95" customHeight="1" x14ac:dyDescent="0.25">
      <c r="A4" s="184" t="s">
        <v>58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2.95" customHeight="1" x14ac:dyDescent="0.25">
      <c r="A5" s="184" t="s">
        <v>59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1" ht="12.95" customHeight="1" x14ac:dyDescent="0.25">
      <c r="A6" s="184" t="s">
        <v>82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s="120" customFormat="1" ht="5.0999999999999996" customHeight="1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</row>
    <row r="8" spans="1:11" ht="18.75" x14ac:dyDescent="0.3">
      <c r="A8" s="119" t="str">
        <f>'Lev SAPATAS'!A8</f>
        <v>Obra: REFORMA E AMPLIAÇÃO DA UNIDADE EDUCACIONAL DE PRODUÇÃO - UEP - CAMPUS LÁBREA</v>
      </c>
      <c r="B8" s="120"/>
      <c r="C8" s="120"/>
      <c r="D8" s="120"/>
      <c r="E8" s="120"/>
      <c r="F8" s="120"/>
      <c r="I8" s="41" t="s">
        <v>26</v>
      </c>
      <c r="J8" s="44">
        <f>G29</f>
        <v>36.711999999999996</v>
      </c>
      <c r="K8" s="43" t="s">
        <v>24</v>
      </c>
    </row>
    <row r="9" spans="1:11" ht="26.25" customHeight="1" x14ac:dyDescent="0.3">
      <c r="A9" s="181" t="str">
        <f>'Lev SAPATAS'!A9</f>
        <v xml:space="preserve">Endereço: Av. 22 de Outubro, S/Nº. Bairro: Vila Falcão Município: Lábrea/AM – CEP: 69.830-000 </v>
      </c>
      <c r="B9" s="181"/>
      <c r="C9" s="181"/>
      <c r="D9" s="181"/>
      <c r="E9" s="181"/>
      <c r="F9" s="181"/>
      <c r="G9" s="152"/>
      <c r="I9" s="41" t="s">
        <v>81</v>
      </c>
      <c r="J9" s="44">
        <f>H29</f>
        <v>1.9218</v>
      </c>
      <c r="K9" s="43" t="s">
        <v>25</v>
      </c>
    </row>
    <row r="10" spans="1:11" s="120" customFormat="1" ht="5.0999999999999996" customHeight="1" x14ac:dyDescent="0.3">
      <c r="A10" s="155"/>
      <c r="B10" s="155"/>
      <c r="C10" s="155"/>
      <c r="D10" s="155"/>
      <c r="E10" s="155"/>
      <c r="F10" s="155"/>
      <c r="G10" s="152"/>
      <c r="I10" s="41"/>
      <c r="J10" s="44"/>
      <c r="K10" s="43"/>
    </row>
    <row r="11" spans="1:11" ht="15.75" thickBot="1" x14ac:dyDescent="0.3">
      <c r="A11" s="3" t="s">
        <v>0</v>
      </c>
    </row>
    <row r="12" spans="1:11" x14ac:dyDescent="0.25">
      <c r="A12" s="182" t="s">
        <v>1</v>
      </c>
      <c r="B12" s="171" t="s">
        <v>9</v>
      </c>
      <c r="C12" s="171" t="s">
        <v>5</v>
      </c>
      <c r="D12" s="171" t="s">
        <v>6</v>
      </c>
      <c r="E12" s="171"/>
      <c r="F12" s="171"/>
      <c r="G12" s="171" t="s">
        <v>7</v>
      </c>
      <c r="H12" s="173" t="s">
        <v>8</v>
      </c>
      <c r="I12" s="173" t="s">
        <v>13</v>
      </c>
      <c r="J12" s="173"/>
      <c r="K12" s="177"/>
    </row>
    <row r="13" spans="1:11" ht="15.75" thickBot="1" x14ac:dyDescent="0.3">
      <c r="A13" s="183"/>
      <c r="B13" s="172"/>
      <c r="C13" s="172"/>
      <c r="D13" s="156" t="s">
        <v>2</v>
      </c>
      <c r="E13" s="156" t="s">
        <v>3</v>
      </c>
      <c r="F13" s="156" t="s">
        <v>4</v>
      </c>
      <c r="G13" s="172"/>
      <c r="H13" s="174"/>
      <c r="I13" s="174"/>
      <c r="J13" s="174"/>
      <c r="K13" s="178"/>
    </row>
    <row r="14" spans="1:11" x14ac:dyDescent="0.25">
      <c r="A14" s="376" t="s">
        <v>93</v>
      </c>
      <c r="B14" s="151">
        <v>2</v>
      </c>
      <c r="C14" s="151" t="s">
        <v>94</v>
      </c>
      <c r="D14" s="4">
        <v>0.4</v>
      </c>
      <c r="E14" s="4">
        <v>0.15</v>
      </c>
      <c r="F14" s="4">
        <v>3</v>
      </c>
      <c r="G14" s="8">
        <f>(((2*D14+2*E14)*F14))*B14</f>
        <v>6.6000000000000005</v>
      </c>
      <c r="H14" s="8">
        <f>((D14*E14*F14))*B14</f>
        <v>0.36</v>
      </c>
      <c r="I14" s="18"/>
      <c r="J14" s="18"/>
      <c r="K14" s="14"/>
    </row>
    <row r="15" spans="1:11" x14ac:dyDescent="0.25">
      <c r="A15" s="377" t="s">
        <v>68</v>
      </c>
      <c r="B15" s="22">
        <v>1</v>
      </c>
      <c r="C15" s="22" t="s">
        <v>63</v>
      </c>
      <c r="D15" s="6">
        <v>0.4</v>
      </c>
      <c r="E15" s="6">
        <v>0.15</v>
      </c>
      <c r="F15" s="6">
        <v>1.4</v>
      </c>
      <c r="G15" s="10">
        <f t="shared" ref="G15:G28" si="0">(((2*D15+2*E15)*F15))*B15</f>
        <v>1.54</v>
      </c>
      <c r="H15" s="10">
        <f t="shared" ref="H15:H28" si="1">((D15*E15*F15))*B15</f>
        <v>8.3999999999999991E-2</v>
      </c>
      <c r="I15" s="20"/>
      <c r="J15" s="20"/>
      <c r="K15" s="16"/>
    </row>
    <row r="16" spans="1:11" x14ac:dyDescent="0.25">
      <c r="A16" s="378" t="s">
        <v>69</v>
      </c>
      <c r="B16" s="22">
        <v>1</v>
      </c>
      <c r="C16" s="22" t="s">
        <v>63</v>
      </c>
      <c r="D16" s="6">
        <v>0.4</v>
      </c>
      <c r="E16" s="6">
        <v>0.15</v>
      </c>
      <c r="F16" s="6">
        <v>1.4</v>
      </c>
      <c r="G16" s="10">
        <f t="shared" si="0"/>
        <v>1.54</v>
      </c>
      <c r="H16" s="10">
        <f t="shared" si="1"/>
        <v>8.3999999999999991E-2</v>
      </c>
      <c r="I16" s="20"/>
      <c r="J16" s="20"/>
      <c r="K16" s="16"/>
    </row>
    <row r="17" spans="1:11" x14ac:dyDescent="0.25">
      <c r="A17" s="379"/>
      <c r="B17" s="23">
        <v>1</v>
      </c>
      <c r="C17" s="23" t="s">
        <v>94</v>
      </c>
      <c r="D17" s="5">
        <v>0.4</v>
      </c>
      <c r="E17" s="5">
        <v>0.15</v>
      </c>
      <c r="F17" s="5">
        <v>3</v>
      </c>
      <c r="G17" s="9">
        <f t="shared" si="0"/>
        <v>3.3000000000000003</v>
      </c>
      <c r="H17" s="9">
        <f t="shared" si="1"/>
        <v>0.18</v>
      </c>
      <c r="I17" s="19"/>
      <c r="J17" s="19"/>
      <c r="K17" s="15"/>
    </row>
    <row r="18" spans="1:11" x14ac:dyDescent="0.25">
      <c r="A18" s="378" t="s">
        <v>70</v>
      </c>
      <c r="B18" s="22">
        <v>1</v>
      </c>
      <c r="C18" s="22" t="s">
        <v>63</v>
      </c>
      <c r="D18" s="6">
        <v>0.3</v>
      </c>
      <c r="E18" s="6">
        <v>0.12</v>
      </c>
      <c r="F18" s="6">
        <v>1.4</v>
      </c>
      <c r="G18" s="10">
        <f t="shared" si="0"/>
        <v>1.1759999999999999</v>
      </c>
      <c r="H18" s="10">
        <f t="shared" si="1"/>
        <v>5.0399999999999993E-2</v>
      </c>
      <c r="I18" s="20"/>
      <c r="J18" s="20"/>
      <c r="K18" s="16"/>
    </row>
    <row r="19" spans="1:11" x14ac:dyDescent="0.25">
      <c r="A19" s="379"/>
      <c r="B19" s="23">
        <v>1</v>
      </c>
      <c r="C19" s="23" t="s">
        <v>94</v>
      </c>
      <c r="D19" s="5">
        <v>0.3</v>
      </c>
      <c r="E19" s="5">
        <v>0.12</v>
      </c>
      <c r="F19" s="5">
        <v>3</v>
      </c>
      <c r="G19" s="9">
        <f t="shared" si="0"/>
        <v>2.52</v>
      </c>
      <c r="H19" s="9">
        <f t="shared" si="1"/>
        <v>0.10799999999999998</v>
      </c>
      <c r="I19" s="19"/>
      <c r="J19" s="19"/>
      <c r="K19" s="15"/>
    </row>
    <row r="20" spans="1:11" x14ac:dyDescent="0.25">
      <c r="A20" s="380" t="s">
        <v>71</v>
      </c>
      <c r="B20" s="50">
        <v>1</v>
      </c>
      <c r="C20" s="50" t="s">
        <v>63</v>
      </c>
      <c r="D20" s="12">
        <v>0.4</v>
      </c>
      <c r="E20" s="12">
        <v>0.15</v>
      </c>
      <c r="F20" s="12">
        <v>1.4</v>
      </c>
      <c r="G20" s="10">
        <f>(((2*D20+2*E20)*F20))*B20</f>
        <v>1.54</v>
      </c>
      <c r="H20" s="10">
        <f t="shared" si="1"/>
        <v>8.3999999999999991E-2</v>
      </c>
      <c r="I20" s="21"/>
      <c r="J20" s="21"/>
      <c r="K20" s="17"/>
    </row>
    <row r="21" spans="1:11" x14ac:dyDescent="0.25">
      <c r="A21" s="381"/>
      <c r="B21" s="51">
        <v>1</v>
      </c>
      <c r="C21" s="51" t="s">
        <v>94</v>
      </c>
      <c r="D21" s="13">
        <v>0.4</v>
      </c>
      <c r="E21" s="13">
        <v>0.15</v>
      </c>
      <c r="F21" s="13">
        <v>3</v>
      </c>
      <c r="G21" s="9">
        <f t="shared" si="0"/>
        <v>3.3000000000000003</v>
      </c>
      <c r="H21" s="9">
        <f t="shared" si="1"/>
        <v>0.18</v>
      </c>
      <c r="I21" s="19"/>
      <c r="J21" s="19"/>
      <c r="K21" s="15"/>
    </row>
    <row r="22" spans="1:11" x14ac:dyDescent="0.25">
      <c r="A22" s="378" t="s">
        <v>72</v>
      </c>
      <c r="B22" s="50">
        <v>1</v>
      </c>
      <c r="C22" s="50" t="s">
        <v>63</v>
      </c>
      <c r="D22" s="12">
        <v>0.5</v>
      </c>
      <c r="E22" s="12">
        <v>0.15</v>
      </c>
      <c r="F22" s="12">
        <v>1.4</v>
      </c>
      <c r="G22" s="10">
        <f t="shared" si="0"/>
        <v>1.8199999999999998</v>
      </c>
      <c r="H22" s="10">
        <f t="shared" si="1"/>
        <v>0.105</v>
      </c>
      <c r="I22" s="20"/>
      <c r="J22" s="20"/>
      <c r="K22" s="16"/>
    </row>
    <row r="23" spans="1:11" x14ac:dyDescent="0.25">
      <c r="A23" s="379"/>
      <c r="B23" s="51">
        <v>1</v>
      </c>
      <c r="C23" s="51" t="s">
        <v>94</v>
      </c>
      <c r="D23" s="13">
        <v>0.4</v>
      </c>
      <c r="E23" s="13">
        <v>0.15</v>
      </c>
      <c r="F23" s="13">
        <v>3</v>
      </c>
      <c r="G23" s="9">
        <f t="shared" si="0"/>
        <v>3.3000000000000003</v>
      </c>
      <c r="H23" s="9">
        <f t="shared" si="1"/>
        <v>0.18</v>
      </c>
      <c r="I23" s="19"/>
      <c r="J23" s="19"/>
      <c r="K23" s="15"/>
    </row>
    <row r="24" spans="1:11" x14ac:dyDescent="0.25">
      <c r="A24" s="378" t="s">
        <v>73</v>
      </c>
      <c r="B24" s="50">
        <v>1</v>
      </c>
      <c r="C24" s="50" t="s">
        <v>63</v>
      </c>
      <c r="D24" s="12">
        <v>0.3</v>
      </c>
      <c r="E24" s="12">
        <v>0.12</v>
      </c>
      <c r="F24" s="12">
        <v>1.4</v>
      </c>
      <c r="G24" s="10">
        <f t="shared" si="0"/>
        <v>1.1759999999999999</v>
      </c>
      <c r="H24" s="10">
        <f t="shared" si="1"/>
        <v>5.0399999999999993E-2</v>
      </c>
      <c r="I24" s="21"/>
      <c r="J24" s="21"/>
      <c r="K24" s="17"/>
    </row>
    <row r="25" spans="1:11" x14ac:dyDescent="0.25">
      <c r="A25" s="379"/>
      <c r="B25" s="51">
        <v>1</v>
      </c>
      <c r="C25" s="51" t="s">
        <v>94</v>
      </c>
      <c r="D25" s="13">
        <v>0.3</v>
      </c>
      <c r="E25" s="13">
        <v>0.12</v>
      </c>
      <c r="F25" s="13">
        <v>3</v>
      </c>
      <c r="G25" s="9">
        <f t="shared" si="0"/>
        <v>2.52</v>
      </c>
      <c r="H25" s="9">
        <f t="shared" si="1"/>
        <v>0.10799999999999998</v>
      </c>
      <c r="I25" s="19"/>
      <c r="J25" s="19"/>
      <c r="K25" s="15"/>
    </row>
    <row r="26" spans="1:11" x14ac:dyDescent="0.25">
      <c r="A26" s="377" t="s">
        <v>74</v>
      </c>
      <c r="B26" s="50">
        <v>1</v>
      </c>
      <c r="C26" s="50" t="s">
        <v>63</v>
      </c>
      <c r="D26" s="12">
        <v>0.4</v>
      </c>
      <c r="E26" s="12">
        <v>0.15</v>
      </c>
      <c r="F26" s="12">
        <v>1.4</v>
      </c>
      <c r="G26" s="10">
        <f t="shared" si="0"/>
        <v>1.54</v>
      </c>
      <c r="H26" s="10">
        <f t="shared" si="1"/>
        <v>8.3999999999999991E-2</v>
      </c>
      <c r="I26" s="21"/>
      <c r="J26" s="21"/>
      <c r="K26" s="17"/>
    </row>
    <row r="27" spans="1:11" x14ac:dyDescent="0.25">
      <c r="A27" s="378" t="s">
        <v>75</v>
      </c>
      <c r="B27" s="50">
        <v>1</v>
      </c>
      <c r="C27" s="50" t="s">
        <v>63</v>
      </c>
      <c r="D27" s="12">
        <v>0.4</v>
      </c>
      <c r="E27" s="12">
        <v>0.15</v>
      </c>
      <c r="F27" s="12">
        <v>1.4</v>
      </c>
      <c r="G27" s="10">
        <f t="shared" si="0"/>
        <v>1.54</v>
      </c>
      <c r="H27" s="10">
        <f t="shared" si="1"/>
        <v>8.3999999999999991E-2</v>
      </c>
      <c r="I27" s="20"/>
      <c r="J27" s="20"/>
      <c r="K27" s="16"/>
    </row>
    <row r="28" spans="1:11" ht="15.75" thickBot="1" x14ac:dyDescent="0.3">
      <c r="A28" s="382"/>
      <c r="B28" s="383">
        <v>1</v>
      </c>
      <c r="C28" s="383" t="s">
        <v>94</v>
      </c>
      <c r="D28" s="384">
        <v>0.4</v>
      </c>
      <c r="E28" s="384">
        <v>0.15</v>
      </c>
      <c r="F28" s="384">
        <v>3</v>
      </c>
      <c r="G28" s="385">
        <f t="shared" si="0"/>
        <v>3.3000000000000003</v>
      </c>
      <c r="H28" s="385">
        <f t="shared" si="1"/>
        <v>0.18</v>
      </c>
      <c r="I28" s="363"/>
      <c r="J28" s="363"/>
      <c r="K28" s="386"/>
    </row>
    <row r="29" spans="1:11" ht="19.5" thickBot="1" x14ac:dyDescent="0.3">
      <c r="B29" s="49"/>
      <c r="C29" s="49"/>
      <c r="D29" s="49"/>
      <c r="E29" s="49"/>
      <c r="F29" s="49"/>
      <c r="G29" s="164">
        <f>SUM(G14:G28)</f>
        <v>36.711999999999996</v>
      </c>
      <c r="H29" s="165">
        <f>SUM(H14:H28)</f>
        <v>1.9218</v>
      </c>
      <c r="I29" s="49"/>
      <c r="J29" s="49"/>
    </row>
  </sheetData>
  <mergeCells count="22">
    <mergeCell ref="A6:K6"/>
    <mergeCell ref="A1:K1"/>
    <mergeCell ref="A2:K2"/>
    <mergeCell ref="A3:K3"/>
    <mergeCell ref="A4:K4"/>
    <mergeCell ref="A5:K5"/>
    <mergeCell ref="A9:F9"/>
    <mergeCell ref="D12:F12"/>
    <mergeCell ref="G12:G13"/>
    <mergeCell ref="H12:H13"/>
    <mergeCell ref="B12:B13"/>
    <mergeCell ref="A27:A28"/>
    <mergeCell ref="A16:A17"/>
    <mergeCell ref="A18:A19"/>
    <mergeCell ref="A20:A21"/>
    <mergeCell ref="A12:A13"/>
    <mergeCell ref="K12:K13"/>
    <mergeCell ref="I12:I13"/>
    <mergeCell ref="J12:J13"/>
    <mergeCell ref="A22:A23"/>
    <mergeCell ref="A24:A25"/>
    <mergeCell ref="C12:C1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7" fitToHeight="5" orientation="portrait" verticalDpi="0" r:id="rId1"/>
  <headerFooter>
    <oddFooter>&amp;C&amp;8Rua Ferreira Pena, 1.109 – Centro – Manaus/AM – Cel: (0**92) 98415-0793, Fone: (0**92) 3306-0045 – e-mail: enge.ifam@ifam.edu.br 
DIRETORIA DE OBRAS E SERVIÇOS DE ENGENHARIA - DOSE/IFAM&amp;R&amp;8Página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2"/>
  <sheetViews>
    <sheetView workbookViewId="0">
      <pane ySplit="13" topLeftCell="A14" activePane="bottomLeft" state="frozenSplit"/>
      <selection pane="bottomLeft" activeCell="A9" sqref="A9:H9"/>
    </sheetView>
  </sheetViews>
  <sheetFormatPr defaultRowHeight="15" x14ac:dyDescent="0.25"/>
  <cols>
    <col min="1" max="2" width="9.140625" style="1"/>
    <col min="3" max="3" width="11.5703125" style="1" bestFit="1" customWidth="1"/>
    <col min="4" max="6" width="9.140625" style="1"/>
    <col min="7" max="7" width="12.42578125" style="1" bestFit="1" customWidth="1"/>
    <col min="8" max="8" width="15.5703125" style="1" bestFit="1" customWidth="1"/>
    <col min="9" max="9" width="16.5703125" style="1" customWidth="1"/>
    <col min="10" max="10" width="15.7109375" customWidth="1"/>
    <col min="11" max="11" width="12.85546875" customWidth="1"/>
    <col min="12" max="12" width="21.5703125" style="11" customWidth="1"/>
    <col min="13" max="13" width="18" style="1" customWidth="1"/>
    <col min="14" max="14" width="12.140625" customWidth="1"/>
  </cols>
  <sheetData>
    <row r="1" spans="1:13" ht="12.95" customHeight="1" x14ac:dyDescent="0.25">
      <c r="A1" s="184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2.95" customHeight="1" x14ac:dyDescent="0.25">
      <c r="A2" s="184" t="s">
        <v>57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2.95" customHeight="1" x14ac:dyDescent="0.25">
      <c r="A3" s="184" t="s">
        <v>60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ht="12.95" customHeight="1" x14ac:dyDescent="0.25">
      <c r="A4" s="184" t="s">
        <v>58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ht="12.95" customHeight="1" x14ac:dyDescent="0.25">
      <c r="A5" s="184" t="s">
        <v>59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2.95" customHeight="1" x14ac:dyDescent="0.25">
      <c r="A6" s="184" t="s">
        <v>82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3" s="120" customFormat="1" ht="5.0999999999999996" customHeight="1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 ht="18.75" x14ac:dyDescent="0.3">
      <c r="A8" s="119" t="str">
        <f>'Lev SAPATAS'!A8</f>
        <v>Obra: REFORMA E AMPLIAÇÃO DA UNIDADE EDUCACIONAL DE PRODUÇÃO - UEP - CAMPUS LÁBREA</v>
      </c>
      <c r="I8" s="41"/>
      <c r="K8" s="365" t="s">
        <v>113</v>
      </c>
      <c r="L8" s="42">
        <f>G21+G30</f>
        <v>87.86930000000001</v>
      </c>
      <c r="M8" s="43" t="s">
        <v>114</v>
      </c>
    </row>
    <row r="9" spans="1:13" ht="18.75" customHeight="1" x14ac:dyDescent="0.3">
      <c r="A9" s="366" t="str">
        <f>'Lev SAPATAS'!A9</f>
        <v xml:space="preserve">Endereço: Av. 22 de Outubro, S/Nº. Bairro: Vila Falcão Município: Lábrea/AM – CEP: 69.830-000 </v>
      </c>
      <c r="B9" s="366"/>
      <c r="C9" s="366"/>
      <c r="D9" s="366"/>
      <c r="E9" s="366"/>
      <c r="F9" s="366"/>
      <c r="G9" s="366"/>
      <c r="H9" s="366"/>
      <c r="I9" s="153"/>
      <c r="K9" s="365" t="s">
        <v>120</v>
      </c>
      <c r="L9" s="42">
        <f>H21+H30</f>
        <v>5.3873700000000007</v>
      </c>
      <c r="M9" s="43" t="s">
        <v>25</v>
      </c>
    </row>
    <row r="10" spans="1:13" s="120" customFormat="1" ht="5.0999999999999996" customHeight="1" x14ac:dyDescent="0.3">
      <c r="A10" s="155"/>
      <c r="B10" s="155"/>
      <c r="C10" s="155"/>
      <c r="D10" s="155"/>
      <c r="E10" s="155"/>
      <c r="F10" s="155"/>
      <c r="G10" s="155"/>
      <c r="H10" s="155"/>
      <c r="I10" s="153"/>
      <c r="K10" s="365"/>
      <c r="L10" s="42"/>
      <c r="M10" s="43"/>
    </row>
    <row r="11" spans="1:13" ht="15.75" thickBot="1" x14ac:dyDescent="0.3">
      <c r="A11" s="24" t="s">
        <v>15</v>
      </c>
    </row>
    <row r="12" spans="1:13" x14ac:dyDescent="0.25">
      <c r="A12" s="182" t="s">
        <v>1</v>
      </c>
      <c r="B12" s="171" t="s">
        <v>9</v>
      </c>
      <c r="C12" s="171" t="s">
        <v>5</v>
      </c>
      <c r="D12" s="171" t="s">
        <v>6</v>
      </c>
      <c r="E12" s="171"/>
      <c r="F12" s="171"/>
      <c r="G12" s="171" t="s">
        <v>7</v>
      </c>
      <c r="H12" s="173" t="s">
        <v>8</v>
      </c>
      <c r="I12" s="188" t="s">
        <v>104</v>
      </c>
      <c r="J12" s="188" t="s">
        <v>102</v>
      </c>
      <c r="K12" s="188" t="s">
        <v>103</v>
      </c>
      <c r="L12" s="188" t="s">
        <v>12</v>
      </c>
      <c r="M12" s="177" t="s">
        <v>14</v>
      </c>
    </row>
    <row r="13" spans="1:13" ht="15.75" thickBot="1" x14ac:dyDescent="0.3">
      <c r="A13" s="183"/>
      <c r="B13" s="172"/>
      <c r="C13" s="172"/>
      <c r="D13" s="2" t="s">
        <v>2</v>
      </c>
      <c r="E13" s="2" t="s">
        <v>3</v>
      </c>
      <c r="F13" s="2" t="s">
        <v>4</v>
      </c>
      <c r="G13" s="172"/>
      <c r="H13" s="174"/>
      <c r="I13" s="189"/>
      <c r="J13" s="189"/>
      <c r="K13" s="189"/>
      <c r="L13" s="189"/>
      <c r="M13" s="178"/>
    </row>
    <row r="14" spans="1:13" x14ac:dyDescent="0.25">
      <c r="A14" s="123" t="s">
        <v>17</v>
      </c>
      <c r="B14" s="124">
        <v>1</v>
      </c>
      <c r="C14" s="124" t="s">
        <v>63</v>
      </c>
      <c r="D14" s="28">
        <f>1.125+5.385</f>
        <v>6.51</v>
      </c>
      <c r="E14" s="28">
        <v>0.15</v>
      </c>
      <c r="F14" s="28">
        <v>0.5</v>
      </c>
      <c r="G14" s="28">
        <f>(2*D14*F14)*B14</f>
        <v>6.51</v>
      </c>
      <c r="H14" s="28">
        <f>(D14*E14*F14)*B14</f>
        <v>0.48824999999999996</v>
      </c>
      <c r="I14" s="28">
        <f>D14*E14*0.05</f>
        <v>4.8825E-2</v>
      </c>
      <c r="J14" s="28">
        <f>D14*(E14+0.3)*(F14+0.05)</f>
        <v>1.6112249999999999</v>
      </c>
      <c r="K14" s="28">
        <f>J14-(H14+I14)</f>
        <v>1.0741499999999999</v>
      </c>
      <c r="L14" s="29" t="s">
        <v>95</v>
      </c>
      <c r="M14" s="185" t="s">
        <v>112</v>
      </c>
    </row>
    <row r="15" spans="1:13" s="120" customFormat="1" x14ac:dyDescent="0.25">
      <c r="A15" s="121" t="s">
        <v>16</v>
      </c>
      <c r="B15" s="122">
        <v>1</v>
      </c>
      <c r="C15" s="122" t="s">
        <v>63</v>
      </c>
      <c r="D15" s="125">
        <v>3.86</v>
      </c>
      <c r="E15" s="125">
        <v>0.12</v>
      </c>
      <c r="F15" s="125">
        <v>0.4</v>
      </c>
      <c r="G15" s="125">
        <f t="shared" ref="G15:G20" si="0">(2*D15*F15)*B15</f>
        <v>3.0880000000000001</v>
      </c>
      <c r="H15" s="125">
        <f t="shared" ref="H15:H20" si="1">(D15*E15*F15)*B15</f>
        <v>0.18528</v>
      </c>
      <c r="I15" s="125">
        <f t="shared" ref="I15:I20" si="2">D15*E15*0.05</f>
        <v>2.316E-2</v>
      </c>
      <c r="J15" s="125">
        <f t="shared" ref="J15:J20" si="3">D15*(E15+0.3)*(F15+0.05)</f>
        <v>0.72953999999999997</v>
      </c>
      <c r="K15" s="125">
        <f>J15-(H15+I15)</f>
        <v>0.5210999999999999</v>
      </c>
      <c r="L15" s="126" t="s">
        <v>96</v>
      </c>
      <c r="M15" s="186"/>
    </row>
    <row r="16" spans="1:13" x14ac:dyDescent="0.25">
      <c r="A16" s="30" t="s">
        <v>18</v>
      </c>
      <c r="B16" s="23">
        <v>1</v>
      </c>
      <c r="C16" s="23" t="s">
        <v>63</v>
      </c>
      <c r="D16" s="31">
        <f>1.53+5.63</f>
        <v>7.16</v>
      </c>
      <c r="E16" s="31">
        <v>0.15</v>
      </c>
      <c r="F16" s="31">
        <v>0.5</v>
      </c>
      <c r="G16" s="31">
        <f t="shared" si="0"/>
        <v>7.16</v>
      </c>
      <c r="H16" s="31">
        <f t="shared" si="1"/>
        <v>0.53700000000000003</v>
      </c>
      <c r="I16" s="31">
        <f t="shared" si="2"/>
        <v>5.3700000000000005E-2</v>
      </c>
      <c r="J16" s="31">
        <f t="shared" si="3"/>
        <v>1.7720999999999998</v>
      </c>
      <c r="K16" s="31">
        <f>J16-(H16+I16)</f>
        <v>1.1813999999999998</v>
      </c>
      <c r="L16" s="32" t="s">
        <v>97</v>
      </c>
      <c r="M16" s="186"/>
    </row>
    <row r="17" spans="1:13" x14ac:dyDescent="0.25">
      <c r="A17" s="30" t="s">
        <v>19</v>
      </c>
      <c r="B17" s="23">
        <v>1</v>
      </c>
      <c r="C17" s="23" t="s">
        <v>63</v>
      </c>
      <c r="D17" s="31">
        <f>1.13+5.39</f>
        <v>6.52</v>
      </c>
      <c r="E17" s="31">
        <v>0.15</v>
      </c>
      <c r="F17" s="31">
        <v>0.5</v>
      </c>
      <c r="G17" s="31">
        <f t="shared" si="0"/>
        <v>6.52</v>
      </c>
      <c r="H17" s="31">
        <f t="shared" si="1"/>
        <v>0.48899999999999993</v>
      </c>
      <c r="I17" s="31">
        <f t="shared" si="2"/>
        <v>4.8899999999999999E-2</v>
      </c>
      <c r="J17" s="31">
        <f t="shared" si="3"/>
        <v>1.6136999999999999</v>
      </c>
      <c r="K17" s="31">
        <f>J17-(H17+I17)</f>
        <v>1.0758000000000001</v>
      </c>
      <c r="L17" s="32" t="s">
        <v>97</v>
      </c>
      <c r="M17" s="186"/>
    </row>
    <row r="18" spans="1:13" x14ac:dyDescent="0.25">
      <c r="A18" s="30" t="s">
        <v>21</v>
      </c>
      <c r="B18" s="23">
        <v>1</v>
      </c>
      <c r="C18" s="23" t="s">
        <v>63</v>
      </c>
      <c r="D18" s="31">
        <v>3</v>
      </c>
      <c r="E18" s="31">
        <v>0.15</v>
      </c>
      <c r="F18" s="31">
        <v>0.5</v>
      </c>
      <c r="G18" s="31">
        <f t="shared" si="0"/>
        <v>3</v>
      </c>
      <c r="H18" s="31">
        <f t="shared" si="1"/>
        <v>0.22499999999999998</v>
      </c>
      <c r="I18" s="31">
        <f t="shared" si="2"/>
        <v>2.2499999999999999E-2</v>
      </c>
      <c r="J18" s="31">
        <f t="shared" si="3"/>
        <v>0.74249999999999994</v>
      </c>
      <c r="K18" s="31">
        <f>J18-(H18+I18)</f>
        <v>0.495</v>
      </c>
      <c r="L18" s="32" t="s">
        <v>98</v>
      </c>
      <c r="M18" s="186"/>
    </row>
    <row r="19" spans="1:13" x14ac:dyDescent="0.25">
      <c r="A19" s="30" t="s">
        <v>23</v>
      </c>
      <c r="B19" s="23">
        <v>1</v>
      </c>
      <c r="C19" s="23" t="s">
        <v>63</v>
      </c>
      <c r="D19" s="31">
        <f>2.83+2.85</f>
        <v>5.68</v>
      </c>
      <c r="E19" s="31">
        <v>0.12</v>
      </c>
      <c r="F19" s="31">
        <v>0.4</v>
      </c>
      <c r="G19" s="31">
        <f t="shared" si="0"/>
        <v>4.5439999999999996</v>
      </c>
      <c r="H19" s="31">
        <f t="shared" si="1"/>
        <v>0.27263999999999999</v>
      </c>
      <c r="I19" s="31">
        <f t="shared" si="2"/>
        <v>3.4079999999999999E-2</v>
      </c>
      <c r="J19" s="31">
        <f t="shared" si="3"/>
        <v>1.0735199999999998</v>
      </c>
      <c r="K19" s="31">
        <f>J19-(H19+I19)</f>
        <v>0.76679999999999982</v>
      </c>
      <c r="L19" s="32" t="s">
        <v>99</v>
      </c>
      <c r="M19" s="186"/>
    </row>
    <row r="20" spans="1:13" ht="15.75" thickBot="1" x14ac:dyDescent="0.3">
      <c r="A20" s="30" t="s">
        <v>20</v>
      </c>
      <c r="B20" s="23">
        <v>1</v>
      </c>
      <c r="C20" s="23" t="s">
        <v>63</v>
      </c>
      <c r="D20" s="31">
        <f>5.8+6.87</f>
        <v>12.67</v>
      </c>
      <c r="E20" s="31">
        <v>0.12</v>
      </c>
      <c r="F20" s="31">
        <v>0.5</v>
      </c>
      <c r="G20" s="31">
        <f t="shared" si="0"/>
        <v>12.67</v>
      </c>
      <c r="H20" s="31">
        <f t="shared" si="1"/>
        <v>0.76019999999999999</v>
      </c>
      <c r="I20" s="31">
        <f t="shared" si="2"/>
        <v>7.6020000000000004E-2</v>
      </c>
      <c r="J20" s="31">
        <f t="shared" si="3"/>
        <v>2.9267699999999999</v>
      </c>
      <c r="K20" s="31">
        <f>J20-(H20+I20)</f>
        <v>2.0905499999999999</v>
      </c>
      <c r="L20" s="32" t="s">
        <v>100</v>
      </c>
      <c r="M20" s="187"/>
    </row>
    <row r="21" spans="1:13" ht="19.5" thickBot="1" x14ac:dyDescent="0.3">
      <c r="A21" s="33"/>
      <c r="B21" s="34"/>
      <c r="C21" s="34"/>
      <c r="D21" s="35"/>
      <c r="E21" s="35"/>
      <c r="F21" s="36"/>
      <c r="G21" s="169">
        <f>SUM(G14:G20)</f>
        <v>43.491999999999997</v>
      </c>
      <c r="H21" s="169">
        <f>SUM(H14:H20)</f>
        <v>2.9573700000000001</v>
      </c>
      <c r="I21" s="169">
        <f>SUM(I14:I20)</f>
        <v>0.30718499999999999</v>
      </c>
      <c r="J21" s="169">
        <f>SUM(J14:J20)</f>
        <v>10.469354999999998</v>
      </c>
      <c r="K21" s="169">
        <f>SUM(K14:K20)</f>
        <v>7.2047999999999988</v>
      </c>
      <c r="L21" s="37"/>
      <c r="M21" s="38"/>
    </row>
    <row r="22" spans="1:13" ht="15.75" thickBot="1" x14ac:dyDescent="0.3"/>
    <row r="23" spans="1:13" x14ac:dyDescent="0.25">
      <c r="A23" s="26" t="s">
        <v>17</v>
      </c>
      <c r="B23" s="27">
        <v>1</v>
      </c>
      <c r="C23" s="27" t="s">
        <v>94</v>
      </c>
      <c r="D23" s="27">
        <v>6.91</v>
      </c>
      <c r="E23" s="28">
        <v>0.15</v>
      </c>
      <c r="F23" s="28">
        <v>0.4</v>
      </c>
      <c r="G23" s="28">
        <f>((2*D23*F23+D23*E23))*B23</f>
        <v>6.5645000000000007</v>
      </c>
      <c r="H23" s="28">
        <f t="shared" ref="H23:H29" si="4">(D23*E23*F23)*B23</f>
        <v>0.41460000000000002</v>
      </c>
      <c r="I23" s="28"/>
      <c r="J23" s="359"/>
      <c r="K23" s="360"/>
      <c r="L23" s="39" t="s">
        <v>95</v>
      </c>
      <c r="M23" s="14"/>
    </row>
    <row r="24" spans="1:13" x14ac:dyDescent="0.25">
      <c r="A24" s="30" t="s">
        <v>16</v>
      </c>
      <c r="B24" s="23">
        <v>1</v>
      </c>
      <c r="C24" s="23" t="s">
        <v>94</v>
      </c>
      <c r="D24" s="23">
        <v>3.86</v>
      </c>
      <c r="E24" s="31">
        <v>0.12</v>
      </c>
      <c r="F24" s="31">
        <v>0.4</v>
      </c>
      <c r="G24" s="31">
        <f t="shared" ref="G24:G29" si="5">((2*D24*F24+D24*E24))*B24</f>
        <v>3.5512000000000001</v>
      </c>
      <c r="H24" s="31">
        <f t="shared" si="4"/>
        <v>0.18528</v>
      </c>
      <c r="I24" s="31"/>
      <c r="J24" s="361"/>
      <c r="K24" s="362"/>
      <c r="L24" s="7" t="s">
        <v>96</v>
      </c>
      <c r="M24" s="15"/>
    </row>
    <row r="25" spans="1:13" x14ac:dyDescent="0.25">
      <c r="A25" s="30" t="s">
        <v>18</v>
      </c>
      <c r="B25" s="23">
        <v>1</v>
      </c>
      <c r="C25" s="23" t="s">
        <v>94</v>
      </c>
      <c r="D25" s="23">
        <f>1.55+5.64</f>
        <v>7.1899999999999995</v>
      </c>
      <c r="E25" s="31">
        <v>0.12</v>
      </c>
      <c r="F25" s="31">
        <v>0.5</v>
      </c>
      <c r="G25" s="31">
        <f t="shared" si="5"/>
        <v>8.0527999999999995</v>
      </c>
      <c r="H25" s="31">
        <f t="shared" si="4"/>
        <v>0.43139999999999995</v>
      </c>
      <c r="I25" s="31"/>
      <c r="J25" s="361"/>
      <c r="K25" s="362"/>
      <c r="L25" s="7" t="s">
        <v>97</v>
      </c>
      <c r="M25" s="15"/>
    </row>
    <row r="26" spans="1:13" x14ac:dyDescent="0.25">
      <c r="A26" s="30" t="s">
        <v>19</v>
      </c>
      <c r="B26" s="23">
        <v>1</v>
      </c>
      <c r="C26" s="23" t="s">
        <v>94</v>
      </c>
      <c r="D26" s="23">
        <v>6.91</v>
      </c>
      <c r="E26" s="31">
        <v>0.12</v>
      </c>
      <c r="F26" s="31">
        <v>0.4</v>
      </c>
      <c r="G26" s="31">
        <f t="shared" si="5"/>
        <v>6.3572000000000006</v>
      </c>
      <c r="H26" s="31">
        <f t="shared" si="4"/>
        <v>0.33167999999999997</v>
      </c>
      <c r="I26" s="31"/>
      <c r="J26" s="361"/>
      <c r="K26" s="362"/>
      <c r="L26" s="55" t="s">
        <v>97</v>
      </c>
      <c r="M26" s="15"/>
    </row>
    <row r="27" spans="1:13" x14ac:dyDescent="0.25">
      <c r="A27" s="30" t="s">
        <v>21</v>
      </c>
      <c r="B27" s="23">
        <v>1</v>
      </c>
      <c r="C27" s="23" t="s">
        <v>94</v>
      </c>
      <c r="D27" s="23">
        <v>3</v>
      </c>
      <c r="E27" s="31">
        <v>0.15</v>
      </c>
      <c r="F27" s="31">
        <v>0.4</v>
      </c>
      <c r="G27" s="31">
        <f t="shared" si="5"/>
        <v>2.8500000000000005</v>
      </c>
      <c r="H27" s="31">
        <f t="shared" si="4"/>
        <v>0.18</v>
      </c>
      <c r="I27" s="31"/>
      <c r="J27" s="361"/>
      <c r="K27" s="362"/>
      <c r="L27" s="7" t="s">
        <v>98</v>
      </c>
      <c r="M27" s="15"/>
    </row>
    <row r="28" spans="1:13" x14ac:dyDescent="0.25">
      <c r="A28" s="30" t="s">
        <v>23</v>
      </c>
      <c r="B28" s="23">
        <v>1</v>
      </c>
      <c r="C28" s="23" t="s">
        <v>94</v>
      </c>
      <c r="D28" s="23">
        <f>2.85+2.86</f>
        <v>5.71</v>
      </c>
      <c r="E28" s="31">
        <v>0.12</v>
      </c>
      <c r="F28" s="31">
        <v>0.4</v>
      </c>
      <c r="G28" s="31">
        <f t="shared" si="5"/>
        <v>5.2532000000000005</v>
      </c>
      <c r="H28" s="31">
        <f t="shared" si="4"/>
        <v>0.27407999999999999</v>
      </c>
      <c r="I28" s="31"/>
      <c r="J28" s="361"/>
      <c r="K28" s="362"/>
      <c r="L28" s="55" t="s">
        <v>101</v>
      </c>
      <c r="M28" s="15"/>
    </row>
    <row r="29" spans="1:13" x14ac:dyDescent="0.25">
      <c r="A29" s="30" t="s">
        <v>20</v>
      </c>
      <c r="B29" s="23">
        <v>1</v>
      </c>
      <c r="C29" s="23" t="s">
        <v>94</v>
      </c>
      <c r="D29" s="23">
        <f>5.85+6.92</f>
        <v>12.77</v>
      </c>
      <c r="E29" s="31">
        <v>0.12</v>
      </c>
      <c r="F29" s="31">
        <v>0.4</v>
      </c>
      <c r="G29" s="31">
        <f t="shared" si="5"/>
        <v>11.7484</v>
      </c>
      <c r="H29" s="31">
        <f t="shared" si="4"/>
        <v>0.61296000000000006</v>
      </c>
      <c r="I29" s="31"/>
      <c r="J29" s="361"/>
      <c r="K29" s="362"/>
      <c r="L29" s="7" t="s">
        <v>100</v>
      </c>
      <c r="M29" s="15"/>
    </row>
    <row r="30" spans="1:13" ht="19.5" thickBot="1" x14ac:dyDescent="0.3">
      <c r="A30" s="45"/>
      <c r="B30" s="46"/>
      <c r="C30" s="46"/>
      <c r="D30" s="46"/>
      <c r="E30" s="46"/>
      <c r="F30" s="46"/>
      <c r="G30" s="170">
        <f>SUM(G23:G29)</f>
        <v>44.377300000000005</v>
      </c>
      <c r="H30" s="170">
        <f>SUM(H23:H29)</f>
        <v>2.4300000000000002</v>
      </c>
      <c r="I30" s="363"/>
      <c r="J30" s="364"/>
      <c r="K30" s="364"/>
      <c r="L30" s="47"/>
      <c r="M30" s="48"/>
    </row>
    <row r="32" spans="1:13" x14ac:dyDescent="0.25">
      <c r="D32" s="25"/>
      <c r="E32" s="25"/>
      <c r="F32" s="25"/>
      <c r="G32" s="25"/>
      <c r="H32" s="25"/>
    </row>
  </sheetData>
  <mergeCells count="19">
    <mergeCell ref="A1:M1"/>
    <mergeCell ref="A2:M2"/>
    <mergeCell ref="A3:M3"/>
    <mergeCell ref="A4:M4"/>
    <mergeCell ref="A5:M5"/>
    <mergeCell ref="A6:M6"/>
    <mergeCell ref="A9:H9"/>
    <mergeCell ref="A12:A13"/>
    <mergeCell ref="B12:B13"/>
    <mergeCell ref="C12:C13"/>
    <mergeCell ref="D12:F12"/>
    <mergeCell ref="G12:G13"/>
    <mergeCell ref="M14:M20"/>
    <mergeCell ref="J12:J13"/>
    <mergeCell ref="K12:K13"/>
    <mergeCell ref="H12:H13"/>
    <mergeCell ref="I12:I13"/>
    <mergeCell ref="L12:L13"/>
    <mergeCell ref="M12:M1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fitToHeight="5" orientation="portrait" verticalDpi="0" r:id="rId1"/>
  <headerFooter>
    <oddFooter>&amp;C&amp;8Rua Ferreira Pena, 1.109 – Centro – Manaus/AM – Cel: (0**92) 98415-0793, Fone: (0**92) 3306-0045 – e-mail: enge.ifam@ifam.edu.br 
DIRETORIA DE INFRAESTRUTURA - DINFRA/IFAM&amp;R&amp;9Página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59"/>
  <sheetViews>
    <sheetView zoomScaleNormal="100" workbookViewId="0">
      <selection activeCell="I23" sqref="I23"/>
    </sheetView>
  </sheetViews>
  <sheetFormatPr defaultRowHeight="12.75" x14ac:dyDescent="0.2"/>
  <cols>
    <col min="1" max="4" width="9.140625" style="289"/>
    <col min="5" max="5" width="14.7109375" style="289" customWidth="1"/>
    <col min="6" max="8" width="9.140625" style="289"/>
    <col min="9" max="9" width="10.28515625" style="289" bestFit="1" customWidth="1"/>
    <col min="10" max="10" width="14.28515625" style="289" bestFit="1" customWidth="1"/>
    <col min="11" max="15" width="9.140625" style="289"/>
    <col min="16" max="16" width="15.42578125" style="289" customWidth="1"/>
    <col min="17" max="16384" width="9.140625" style="289"/>
  </cols>
  <sheetData>
    <row r="1" spans="1:16" ht="12.95" customHeight="1" x14ac:dyDescent="0.2">
      <c r="B1" s="290"/>
      <c r="C1" s="290"/>
      <c r="D1" s="291" t="s">
        <v>56</v>
      </c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</row>
    <row r="2" spans="1:16" ht="12.95" customHeight="1" x14ac:dyDescent="0.2">
      <c r="B2" s="290"/>
      <c r="C2" s="290"/>
      <c r="D2" s="291" t="s">
        <v>57</v>
      </c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1:16" ht="12.95" customHeight="1" x14ac:dyDescent="0.2">
      <c r="B3" s="290"/>
      <c r="C3" s="290"/>
      <c r="D3" s="291" t="s">
        <v>60</v>
      </c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2.95" customHeight="1" x14ac:dyDescent="0.2">
      <c r="B4" s="290"/>
      <c r="C4" s="290"/>
      <c r="D4" s="291" t="s">
        <v>58</v>
      </c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</row>
    <row r="5" spans="1:16" ht="12.95" customHeight="1" x14ac:dyDescent="0.2">
      <c r="B5" s="290"/>
      <c r="C5" s="290"/>
      <c r="D5" s="291" t="s">
        <v>59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16" ht="12.95" customHeight="1" x14ac:dyDescent="0.2">
      <c r="B6" s="290"/>
      <c r="C6" s="290"/>
      <c r="D6" s="291" t="s">
        <v>82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1:16" ht="5.0999999999999996" customHeight="1" x14ac:dyDescent="0.2">
      <c r="B7" s="290"/>
      <c r="C7" s="290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</row>
    <row r="8" spans="1:16" ht="12.95" customHeight="1" x14ac:dyDescent="0.2">
      <c r="B8" s="290"/>
      <c r="C8" s="290"/>
      <c r="D8" s="119" t="str">
        <f>'Lev SAPATAS'!A8</f>
        <v>Obra: REFORMA E AMPLIAÇÃO DA UNIDADE EDUCACIONAL DE PRODUÇÃO - UEP - CAMPUS LÁBREA</v>
      </c>
      <c r="E8" s="119"/>
      <c r="F8" s="119"/>
      <c r="G8" s="292"/>
      <c r="H8" s="292"/>
      <c r="I8" s="292"/>
      <c r="J8" s="292"/>
      <c r="K8" s="292"/>
      <c r="L8" s="292"/>
      <c r="M8" s="292"/>
      <c r="N8" s="292"/>
      <c r="O8" s="292"/>
    </row>
    <row r="9" spans="1:16" ht="12.95" customHeight="1" x14ac:dyDescent="0.2">
      <c r="A9" s="292"/>
      <c r="B9" s="292"/>
      <c r="C9" s="292"/>
      <c r="D9" s="366" t="str">
        <f>'Lev SAPATAS'!A9</f>
        <v xml:space="preserve">Endereço: Av. 22 de Outubro, S/Nº. Bairro: Vila Falcão Município: Lábrea/AM – CEP: 69.830-000 </v>
      </c>
      <c r="E9" s="190"/>
      <c r="F9" s="190"/>
      <c r="G9" s="190"/>
      <c r="H9" s="190"/>
      <c r="I9" s="190"/>
      <c r="J9" s="190"/>
      <c r="K9" s="190"/>
      <c r="L9" s="190"/>
    </row>
    <row r="10" spans="1:16" ht="5.0999999999999996" customHeight="1" thickBot="1" x14ac:dyDescent="0.25">
      <c r="A10" s="292"/>
      <c r="B10" s="292"/>
      <c r="C10" s="292"/>
      <c r="D10" s="367"/>
      <c r="E10" s="157"/>
      <c r="F10" s="157"/>
      <c r="G10" s="157"/>
      <c r="H10" s="157"/>
      <c r="I10" s="157"/>
      <c r="J10" s="157"/>
      <c r="K10" s="157"/>
      <c r="L10" s="157"/>
    </row>
    <row r="11" spans="1:16" s="56" customFormat="1" ht="16.5" customHeight="1" thickTop="1" x14ac:dyDescent="0.2">
      <c r="D11" s="229" t="s">
        <v>116</v>
      </c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1"/>
    </row>
    <row r="12" spans="1:16" s="56" customFormat="1" ht="15.75" customHeight="1" x14ac:dyDescent="0.2">
      <c r="D12" s="191" t="str">
        <f>D8</f>
        <v>Obra: REFORMA E AMPLIAÇÃO DA UNIDADE EDUCACIONAL DE PRODUÇÃO - UEP - CAMPUS LÁBREA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3"/>
    </row>
    <row r="13" spans="1:16" s="56" customFormat="1" ht="15.75" customHeight="1" thickBot="1" x14ac:dyDescent="0.25">
      <c r="D13" s="194" t="s">
        <v>40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6"/>
    </row>
    <row r="14" spans="1:16" s="56" customFormat="1" ht="15" customHeight="1" x14ac:dyDescent="0.2">
      <c r="D14" s="222" t="s">
        <v>27</v>
      </c>
      <c r="E14" s="223"/>
      <c r="F14" s="223"/>
      <c r="G14" s="223"/>
      <c r="H14" s="223"/>
      <c r="I14" s="223"/>
      <c r="J14" s="223"/>
      <c r="K14" s="197" t="s">
        <v>62</v>
      </c>
      <c r="L14" s="198"/>
      <c r="M14" s="198"/>
      <c r="N14" s="198"/>
      <c r="O14" s="198"/>
      <c r="P14" s="199"/>
    </row>
    <row r="15" spans="1:16" s="56" customFormat="1" ht="15" customHeight="1" x14ac:dyDescent="0.2">
      <c r="D15" s="225"/>
      <c r="E15" s="226"/>
      <c r="F15" s="226"/>
      <c r="G15" s="226"/>
      <c r="H15" s="226"/>
      <c r="I15" s="226"/>
      <c r="J15" s="226"/>
      <c r="K15" s="158" t="s">
        <v>64</v>
      </c>
      <c r="L15" s="200" t="s">
        <v>61</v>
      </c>
      <c r="M15" s="201"/>
      <c r="N15" s="201"/>
      <c r="O15" s="201"/>
      <c r="P15" s="220" t="s">
        <v>77</v>
      </c>
    </row>
    <row r="16" spans="1:16" s="56" customFormat="1" ht="15.75" customHeight="1" thickBot="1" x14ac:dyDescent="0.25">
      <c r="D16" s="227"/>
      <c r="E16" s="228"/>
      <c r="F16" s="228"/>
      <c r="G16" s="228"/>
      <c r="H16" s="228"/>
      <c r="I16" s="228"/>
      <c r="J16" s="228"/>
      <c r="K16" s="116">
        <v>5</v>
      </c>
      <c r="L16" s="61">
        <v>6.3</v>
      </c>
      <c r="M16" s="61">
        <v>10</v>
      </c>
      <c r="N16" s="61">
        <v>12.5</v>
      </c>
      <c r="O16" s="137">
        <v>16</v>
      </c>
      <c r="P16" s="221"/>
    </row>
    <row r="17" spans="1:17" s="56" customFormat="1" ht="12.75" customHeight="1" thickBot="1" x14ac:dyDescent="0.25">
      <c r="D17" s="207" t="s">
        <v>67</v>
      </c>
      <c r="E17" s="208"/>
      <c r="F17" s="208"/>
      <c r="G17" s="208"/>
      <c r="H17" s="208"/>
      <c r="I17" s="208"/>
      <c r="J17" s="208"/>
      <c r="K17" s="387">
        <f>K57</f>
        <v>3.6096000000000004</v>
      </c>
      <c r="L17" s="388">
        <f>L57</f>
        <v>0</v>
      </c>
      <c r="M17" s="388">
        <f>M57</f>
        <v>93.958199999999977</v>
      </c>
      <c r="N17" s="388">
        <f>N57</f>
        <v>2.16</v>
      </c>
      <c r="O17" s="389">
        <f>O57</f>
        <v>0</v>
      </c>
      <c r="P17" s="390">
        <f>SUM(K17:O17)</f>
        <v>99.727799999999974</v>
      </c>
    </row>
    <row r="18" spans="1:17" ht="13.5" thickBot="1" x14ac:dyDescent="0.25">
      <c r="A18" s="56" t="s">
        <v>50</v>
      </c>
      <c r="B18" s="56">
        <v>0.11</v>
      </c>
    </row>
    <row r="19" spans="1:17" s="56" customFormat="1" ht="13.5" thickTop="1" x14ac:dyDescent="0.2">
      <c r="A19" s="56" t="s">
        <v>42</v>
      </c>
      <c r="B19" s="56">
        <v>0.16</v>
      </c>
      <c r="D19" s="209" t="s">
        <v>65</v>
      </c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1"/>
    </row>
    <row r="20" spans="1:17" s="56" customFormat="1" ht="13.5" thickBot="1" x14ac:dyDescent="0.25">
      <c r="A20" s="56" t="s">
        <v>43</v>
      </c>
      <c r="B20" s="56">
        <v>0.25</v>
      </c>
      <c r="D20" s="212" t="str">
        <f>D8</f>
        <v>Obra: REFORMA E AMPLIAÇÃO DA UNIDADE EDUCACIONAL DE PRODUÇÃO - UEP - CAMPUS LÁBREA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4"/>
    </row>
    <row r="21" spans="1:17" s="56" customFormat="1" ht="15" customHeight="1" x14ac:dyDescent="0.2">
      <c r="A21" s="56" t="s">
        <v>44</v>
      </c>
      <c r="B21" s="56">
        <v>0.4</v>
      </c>
      <c r="D21" s="205" t="s">
        <v>27</v>
      </c>
      <c r="E21" s="206"/>
      <c r="F21" s="206"/>
      <c r="G21" s="206"/>
      <c r="H21" s="206"/>
      <c r="I21" s="206"/>
      <c r="J21" s="206"/>
      <c r="K21" s="217" t="s">
        <v>62</v>
      </c>
      <c r="L21" s="218"/>
      <c r="M21" s="218"/>
      <c r="N21" s="218"/>
      <c r="O21" s="219"/>
      <c r="P21" s="215" t="s">
        <v>76</v>
      </c>
    </row>
    <row r="22" spans="1:17" s="56" customFormat="1" ht="13.5" thickBot="1" x14ac:dyDescent="0.25">
      <c r="A22" s="56" t="s">
        <v>45</v>
      </c>
      <c r="B22" s="56">
        <v>0.63</v>
      </c>
      <c r="D22" s="140" t="s">
        <v>66</v>
      </c>
      <c r="E22" s="148" t="s">
        <v>80</v>
      </c>
      <c r="F22" s="141" t="s">
        <v>29</v>
      </c>
      <c r="G22" s="142" t="s">
        <v>30</v>
      </c>
      <c r="H22" s="142" t="s">
        <v>31</v>
      </c>
      <c r="I22" s="143" t="s">
        <v>51</v>
      </c>
      <c r="J22" s="143" t="s">
        <v>52</v>
      </c>
      <c r="K22" s="144">
        <v>5</v>
      </c>
      <c r="L22" s="145">
        <v>6.3</v>
      </c>
      <c r="M22" s="145">
        <v>10</v>
      </c>
      <c r="N22" s="145">
        <v>12.5</v>
      </c>
      <c r="O22" s="146">
        <v>16</v>
      </c>
      <c r="P22" s="216"/>
    </row>
    <row r="23" spans="1:17" s="56" customFormat="1" x14ac:dyDescent="0.2">
      <c r="A23" s="56" t="s">
        <v>46</v>
      </c>
      <c r="B23" s="56">
        <v>1</v>
      </c>
      <c r="C23" s="78"/>
      <c r="D23" s="351" t="s">
        <v>68</v>
      </c>
      <c r="E23" s="320" t="s">
        <v>108</v>
      </c>
      <c r="F23" s="327">
        <v>1</v>
      </c>
      <c r="G23" s="328">
        <v>4</v>
      </c>
      <c r="H23" s="329">
        <v>10</v>
      </c>
      <c r="I23" s="330">
        <v>1.24</v>
      </c>
      <c r="J23" s="330">
        <f>G23*I23</f>
        <v>4.96</v>
      </c>
      <c r="K23" s="135">
        <f>IF($H23=5,$J23*$B$19,0)</f>
        <v>0</v>
      </c>
      <c r="L23" s="128">
        <f>IF($H23=6.3,$J23*$B$20,0)</f>
        <v>0</v>
      </c>
      <c r="M23" s="128">
        <f>IF($H23=10,$J23*$B$22,0)</f>
        <v>3.1248</v>
      </c>
      <c r="N23" s="128">
        <f>IF($H23=12.5,$J23*$B$23,0)</f>
        <v>0</v>
      </c>
      <c r="O23" s="138">
        <f>IF($H23=16,$J23*$B$24,0)</f>
        <v>0</v>
      </c>
      <c r="P23" s="147"/>
    </row>
    <row r="24" spans="1:17" s="56" customFormat="1" ht="15" customHeight="1" x14ac:dyDescent="0.2">
      <c r="A24" s="56" t="s">
        <v>47</v>
      </c>
      <c r="B24" s="56">
        <v>1.6</v>
      </c>
      <c r="C24" s="78"/>
      <c r="D24" s="349"/>
      <c r="E24" s="321" t="s">
        <v>108</v>
      </c>
      <c r="F24" s="282">
        <v>2</v>
      </c>
      <c r="G24" s="283">
        <v>4</v>
      </c>
      <c r="H24" s="284">
        <v>10</v>
      </c>
      <c r="I24" s="130">
        <v>1.22</v>
      </c>
      <c r="J24" s="130">
        <f t="shared" ref="J24:J25" si="0">G24*I24</f>
        <v>4.88</v>
      </c>
      <c r="K24" s="136">
        <f>IF($H24=5,$J24*$B$19,0)</f>
        <v>0</v>
      </c>
      <c r="L24" s="127">
        <f>IF($H24=6.3,$J24*$B$20,0)</f>
        <v>0</v>
      </c>
      <c r="M24" s="127">
        <f>IF($H24=10,$J24*$B$22,0)</f>
        <v>3.0743999999999998</v>
      </c>
      <c r="N24" s="127">
        <f>IF($H24=12.5,$J24*$B$23,0)</f>
        <v>0</v>
      </c>
      <c r="O24" s="139">
        <f>IF($H24=16,$J24*$B$24,0)</f>
        <v>0</v>
      </c>
      <c r="P24" s="147"/>
    </row>
    <row r="25" spans="1:17" s="56" customFormat="1" ht="15" customHeight="1" x14ac:dyDescent="0.2">
      <c r="A25" s="56" t="s">
        <v>48</v>
      </c>
      <c r="B25" s="56">
        <v>2.5</v>
      </c>
      <c r="C25" s="78"/>
      <c r="D25" s="349"/>
      <c r="E25" s="352" t="s">
        <v>108</v>
      </c>
      <c r="F25" s="285">
        <v>3</v>
      </c>
      <c r="G25" s="286">
        <v>6</v>
      </c>
      <c r="H25" s="287">
        <v>10</v>
      </c>
      <c r="I25" s="288">
        <v>2.38</v>
      </c>
      <c r="J25" s="288">
        <f t="shared" si="0"/>
        <v>14.28</v>
      </c>
      <c r="K25" s="353">
        <f>IF($H25=5,$J25*$B$19,0)</f>
        <v>0</v>
      </c>
      <c r="L25" s="354">
        <f>IF($H25=6.3,$J25*$B$20,0)</f>
        <v>0</v>
      </c>
      <c r="M25" s="354">
        <f>IF($H25=10,$J25*$B$22,0)</f>
        <v>8.9963999999999995</v>
      </c>
      <c r="N25" s="354">
        <f>IF($H25=12.5,$J25*$B$23,0)</f>
        <v>0</v>
      </c>
      <c r="O25" s="355">
        <f>IF($H25=16,$J25*$B$24,0)</f>
        <v>0</v>
      </c>
      <c r="P25" s="356"/>
    </row>
    <row r="26" spans="1:17" ht="15" customHeight="1" x14ac:dyDescent="0.2">
      <c r="A26" s="56" t="s">
        <v>49</v>
      </c>
      <c r="B26" s="56">
        <v>3.85</v>
      </c>
      <c r="D26" s="350"/>
      <c r="E26" s="325" t="s">
        <v>108</v>
      </c>
      <c r="F26" s="131">
        <v>4</v>
      </c>
      <c r="G26" s="132">
        <v>3</v>
      </c>
      <c r="H26" s="133">
        <v>5</v>
      </c>
      <c r="I26" s="134">
        <v>0.98</v>
      </c>
      <c r="J26" s="134">
        <f>G26*I26</f>
        <v>2.94</v>
      </c>
      <c r="K26" s="306">
        <f>IF($H26=5,$J26*$B$19,0)</f>
        <v>0.47039999999999998</v>
      </c>
      <c r="L26" s="307">
        <f>IF($H26=6.3,$J26*$B$20,0)</f>
        <v>0</v>
      </c>
      <c r="M26" s="307">
        <f>IF($H26=10,$J26*$B$22,0)</f>
        <v>0</v>
      </c>
      <c r="N26" s="307">
        <f>IF($H26=12.5,$J26*$B$23,0)</f>
        <v>0</v>
      </c>
      <c r="O26" s="308">
        <f>IF($H26=16,$J26*$B$24,0)</f>
        <v>0</v>
      </c>
      <c r="P26" s="357"/>
      <c r="Q26" s="297"/>
    </row>
    <row r="27" spans="1:17" x14ac:dyDescent="0.2">
      <c r="D27" s="301" t="s">
        <v>69</v>
      </c>
      <c r="E27" s="323" t="s">
        <v>108</v>
      </c>
      <c r="F27" s="279">
        <v>5</v>
      </c>
      <c r="G27" s="280">
        <v>5</v>
      </c>
      <c r="H27" s="281">
        <v>10</v>
      </c>
      <c r="I27" s="129">
        <v>1.59</v>
      </c>
      <c r="J27" s="129">
        <f t="shared" ref="J27:J55" si="1">G27*I27</f>
        <v>7.95</v>
      </c>
      <c r="K27" s="293">
        <f>IF($H27=5,$J27*$B$19,0)</f>
        <v>0</v>
      </c>
      <c r="L27" s="294">
        <f>IF($H27=6.3,$J27*$B$20,0)</f>
        <v>0</v>
      </c>
      <c r="M27" s="294">
        <f>IF($H27=10,$J27*$B$22,0)</f>
        <v>5.0084999999999997</v>
      </c>
      <c r="N27" s="294">
        <f>IF($H27=12.5,$J27*$B$23,0)</f>
        <v>0</v>
      </c>
      <c r="O27" s="295">
        <f>IF($H27=16,$J27*$B$24,0)</f>
        <v>0</v>
      </c>
      <c r="P27" s="296"/>
      <c r="Q27" s="69"/>
    </row>
    <row r="28" spans="1:17" x14ac:dyDescent="0.2">
      <c r="D28" s="302"/>
      <c r="E28" s="303" t="s">
        <v>108</v>
      </c>
      <c r="F28" s="282">
        <v>6</v>
      </c>
      <c r="G28" s="283">
        <v>5</v>
      </c>
      <c r="H28" s="284">
        <v>10</v>
      </c>
      <c r="I28" s="130">
        <v>1.57</v>
      </c>
      <c r="J28" s="130">
        <f t="shared" si="1"/>
        <v>7.8500000000000005</v>
      </c>
      <c r="K28" s="298">
        <f>IF($H28=5,$J28*$B$19,0)</f>
        <v>0</v>
      </c>
      <c r="L28" s="299">
        <f>IF($H28=6.3,$J28*$B$20,0)</f>
        <v>0</v>
      </c>
      <c r="M28" s="299">
        <f>IF($H28=10,$J28*$B$22,0)</f>
        <v>4.9455</v>
      </c>
      <c r="N28" s="299">
        <f>IF($H28=12.5,$J28*$B$23,0)</f>
        <v>0</v>
      </c>
      <c r="O28" s="300">
        <f>IF($H28=16,$J28*$B$24,0)</f>
        <v>0</v>
      </c>
      <c r="P28" s="296"/>
      <c r="Q28" s="69"/>
    </row>
    <row r="29" spans="1:17" x14ac:dyDescent="0.2">
      <c r="D29" s="302"/>
      <c r="E29" s="303" t="s">
        <v>108</v>
      </c>
      <c r="F29" s="282">
        <v>7</v>
      </c>
      <c r="G29" s="283">
        <v>2</v>
      </c>
      <c r="H29" s="284">
        <v>12.5</v>
      </c>
      <c r="I29" s="130">
        <v>1.08</v>
      </c>
      <c r="J29" s="130">
        <f t="shared" si="1"/>
        <v>2.16</v>
      </c>
      <c r="K29" s="298">
        <f>IF($H29=5,$J29*$B$19,0)</f>
        <v>0</v>
      </c>
      <c r="L29" s="299">
        <f>IF($H29=6.3,$J29*$B$20,0)</f>
        <v>0</v>
      </c>
      <c r="M29" s="299">
        <f>IF($H29=10,$J29*$B$22,0)</f>
        <v>0</v>
      </c>
      <c r="N29" s="299">
        <f>IF($H29=12.5,$J29*$B$23,0)</f>
        <v>2.16</v>
      </c>
      <c r="O29" s="300">
        <f>IF($H29=16,$J29*$B$24,0)</f>
        <v>0</v>
      </c>
      <c r="P29" s="296"/>
      <c r="Q29" s="69"/>
    </row>
    <row r="30" spans="1:17" x14ac:dyDescent="0.2">
      <c r="D30" s="304"/>
      <c r="E30" s="303" t="s">
        <v>108</v>
      </c>
      <c r="F30" s="285">
        <v>8</v>
      </c>
      <c r="G30" s="286">
        <v>4</v>
      </c>
      <c r="H30" s="287">
        <v>10</v>
      </c>
      <c r="I30" s="288">
        <v>0.98</v>
      </c>
      <c r="J30" s="130">
        <f t="shared" si="1"/>
        <v>3.92</v>
      </c>
      <c r="K30" s="298">
        <f>IF($H30=5,$J30*$B$19,0)</f>
        <v>0</v>
      </c>
      <c r="L30" s="299">
        <f>IF($H30=6.3,$J30*$B$20,0)</f>
        <v>0</v>
      </c>
      <c r="M30" s="299">
        <f>IF($H30=10,$J30*$B$22,0)</f>
        <v>2.4695999999999998</v>
      </c>
      <c r="N30" s="299">
        <f>IF($H30=12.5,$J30*$B$23,0)</f>
        <v>0</v>
      </c>
      <c r="O30" s="300">
        <f>IF($H30=16,$J30*$B$24,0)</f>
        <v>0</v>
      </c>
      <c r="P30" s="296"/>
      <c r="Q30" s="69"/>
    </row>
    <row r="31" spans="1:17" x14ac:dyDescent="0.2">
      <c r="D31" s="305"/>
      <c r="E31" s="324" t="s">
        <v>108</v>
      </c>
      <c r="F31" s="131">
        <v>9</v>
      </c>
      <c r="G31" s="132">
        <v>3</v>
      </c>
      <c r="H31" s="133">
        <v>5</v>
      </c>
      <c r="I31" s="134">
        <v>0.98</v>
      </c>
      <c r="J31" s="134">
        <f t="shared" si="1"/>
        <v>2.94</v>
      </c>
      <c r="K31" s="306">
        <f>IF($H31=5,$J31*$B$19,0)</f>
        <v>0.47039999999999998</v>
      </c>
      <c r="L31" s="307">
        <f>IF($H31=6.3,$J31*$B$20,0)</f>
        <v>0</v>
      </c>
      <c r="M31" s="307">
        <f>IF($H31=10,$J31*$B$22,0)</f>
        <v>0</v>
      </c>
      <c r="N31" s="307">
        <f>IF($H31=12.5,$J31*$B$23,0)</f>
        <v>0</v>
      </c>
      <c r="O31" s="308">
        <f>IF($H31=16,$J31*$B$24,0)</f>
        <v>0</v>
      </c>
      <c r="P31" s="296"/>
      <c r="Q31" s="69"/>
    </row>
    <row r="32" spans="1:17" x14ac:dyDescent="0.2">
      <c r="D32" s="301" t="s">
        <v>70</v>
      </c>
      <c r="E32" s="323" t="s">
        <v>108</v>
      </c>
      <c r="F32" s="279">
        <v>10</v>
      </c>
      <c r="G32" s="280">
        <v>4</v>
      </c>
      <c r="H32" s="281">
        <v>10</v>
      </c>
      <c r="I32" s="129">
        <v>1.34</v>
      </c>
      <c r="J32" s="129">
        <f t="shared" si="1"/>
        <v>5.36</v>
      </c>
      <c r="K32" s="293">
        <f>IF($H32=5,$J32*$B$19,0)</f>
        <v>0</v>
      </c>
      <c r="L32" s="294">
        <f>IF($H32=6.3,$J32*$B$20,0)</f>
        <v>0</v>
      </c>
      <c r="M32" s="294">
        <f>IF($H32=10,$J32*$B$22,0)</f>
        <v>3.3768000000000002</v>
      </c>
      <c r="N32" s="294">
        <f>IF($H32=12.5,$J32*$B$23,0)</f>
        <v>0</v>
      </c>
      <c r="O32" s="295">
        <f>IF($H32=16,$J32*$B$24,0)</f>
        <v>0</v>
      </c>
      <c r="P32" s="296"/>
    </row>
    <row r="33" spans="4:17" x14ac:dyDescent="0.2">
      <c r="D33" s="336"/>
      <c r="E33" s="337" t="s">
        <v>108</v>
      </c>
      <c r="F33" s="338">
        <v>11</v>
      </c>
      <c r="G33" s="339">
        <v>4</v>
      </c>
      <c r="H33" s="340">
        <v>10</v>
      </c>
      <c r="I33" s="341">
        <v>1.32</v>
      </c>
      <c r="J33" s="341">
        <f t="shared" si="1"/>
        <v>5.28</v>
      </c>
      <c r="K33" s="342">
        <f>IF($H33=5,$J33*$B$19,0)</f>
        <v>0</v>
      </c>
      <c r="L33" s="343">
        <f>IF($H33=6.3,$J33*$B$20,0)</f>
        <v>0</v>
      </c>
      <c r="M33" s="343">
        <f>IF($H33=10,$J33*$B$22,0)</f>
        <v>3.3264</v>
      </c>
      <c r="N33" s="343">
        <f>IF($H33=12.5,$J33*$B$23,0)</f>
        <v>0</v>
      </c>
      <c r="O33" s="344">
        <f>IF($H33=16,$J33*$B$24,0)</f>
        <v>0</v>
      </c>
      <c r="P33" s="296"/>
    </row>
    <row r="34" spans="4:17" x14ac:dyDescent="0.2">
      <c r="D34" s="302"/>
      <c r="E34" s="303" t="s">
        <v>108</v>
      </c>
      <c r="F34" s="282">
        <v>12</v>
      </c>
      <c r="G34" s="283">
        <v>4</v>
      </c>
      <c r="H34" s="284">
        <v>10</v>
      </c>
      <c r="I34" s="130">
        <v>0.98</v>
      </c>
      <c r="J34" s="130">
        <f t="shared" si="1"/>
        <v>3.92</v>
      </c>
      <c r="K34" s="298">
        <f>IF($H34=5,$J34*$B$19,0)</f>
        <v>0</v>
      </c>
      <c r="L34" s="299">
        <f>IF($H34=6.3,$J34*$B$20,0)</f>
        <v>0</v>
      </c>
      <c r="M34" s="299">
        <f>IF($H34=10,$J34*$B$22,0)</f>
        <v>2.4695999999999998</v>
      </c>
      <c r="N34" s="299">
        <f>IF($H34=12.5,$J34*$B$23,0)</f>
        <v>0</v>
      </c>
      <c r="O34" s="300">
        <f>IF($H34=16,$J34*$B$24,0)</f>
        <v>0</v>
      </c>
      <c r="P34" s="296"/>
    </row>
    <row r="35" spans="4:17" x14ac:dyDescent="0.2">
      <c r="D35" s="302"/>
      <c r="E35" s="303" t="s">
        <v>108</v>
      </c>
      <c r="F35" s="282">
        <v>13</v>
      </c>
      <c r="G35" s="283">
        <v>3</v>
      </c>
      <c r="H35" s="284">
        <v>5</v>
      </c>
      <c r="I35" s="130">
        <v>0.72</v>
      </c>
      <c r="J35" s="130">
        <f t="shared" si="1"/>
        <v>2.16</v>
      </c>
      <c r="K35" s="298">
        <f>IF($H35=5,$J35*$B$19,0)</f>
        <v>0.34560000000000002</v>
      </c>
      <c r="L35" s="299">
        <f>IF($H35=6.3,$J35*$B$20,0)</f>
        <v>0</v>
      </c>
      <c r="M35" s="299">
        <f>IF($H35=10,$J35*$B$22,0)</f>
        <v>0</v>
      </c>
      <c r="N35" s="299">
        <f>IF($H35=12.5,$J35*$B$23,0)</f>
        <v>0</v>
      </c>
      <c r="O35" s="300">
        <f>IF($H35=16,$J35*$B$24,0)</f>
        <v>0</v>
      </c>
      <c r="P35" s="296"/>
    </row>
    <row r="36" spans="4:17" x14ac:dyDescent="0.2">
      <c r="D36" s="301" t="s">
        <v>71</v>
      </c>
      <c r="E36" s="323" t="s">
        <v>108</v>
      </c>
      <c r="F36" s="279">
        <v>14</v>
      </c>
      <c r="G36" s="280">
        <v>4</v>
      </c>
      <c r="H36" s="281">
        <v>10</v>
      </c>
      <c r="I36" s="129">
        <v>1.34</v>
      </c>
      <c r="J36" s="129">
        <f t="shared" si="1"/>
        <v>5.36</v>
      </c>
      <c r="K36" s="293">
        <f>IF($H36=5,$J36*$B$19,0)</f>
        <v>0</v>
      </c>
      <c r="L36" s="294">
        <f>IF($H36=6.3,$J36*$B$20,0)</f>
        <v>0</v>
      </c>
      <c r="M36" s="294">
        <f>IF($H36=10,$J36*$B$22,0)</f>
        <v>3.3768000000000002</v>
      </c>
      <c r="N36" s="294">
        <f>IF($H36=12.5,$J36*$B$23,0)</f>
        <v>0</v>
      </c>
      <c r="O36" s="295">
        <f>IF($H36=16,$J36*$B$24,0)</f>
        <v>0</v>
      </c>
      <c r="P36" s="296"/>
    </row>
    <row r="37" spans="4:17" x14ac:dyDescent="0.2">
      <c r="D37" s="336"/>
      <c r="E37" s="337" t="s">
        <v>108</v>
      </c>
      <c r="F37" s="338">
        <v>15</v>
      </c>
      <c r="G37" s="339">
        <v>4</v>
      </c>
      <c r="H37" s="340">
        <v>10</v>
      </c>
      <c r="I37" s="341">
        <v>1.32</v>
      </c>
      <c r="J37" s="341">
        <f t="shared" si="1"/>
        <v>5.28</v>
      </c>
      <c r="K37" s="342">
        <f>IF($H37=5,$J37*$B$19,0)</f>
        <v>0</v>
      </c>
      <c r="L37" s="343">
        <f>IF($H37=6.3,$J37*$B$20,0)</f>
        <v>0</v>
      </c>
      <c r="M37" s="343">
        <f>IF($H37=10,$J37*$B$22,0)</f>
        <v>3.3264</v>
      </c>
      <c r="N37" s="343">
        <f>IF($H37=12.5,$J37*$B$23,0)</f>
        <v>0</v>
      </c>
      <c r="O37" s="344">
        <f>IF($H37=16,$J37*$B$24,0)</f>
        <v>0</v>
      </c>
      <c r="P37" s="296"/>
    </row>
    <row r="38" spans="4:17" x14ac:dyDescent="0.2">
      <c r="D38" s="302"/>
      <c r="E38" s="303" t="s">
        <v>108</v>
      </c>
      <c r="F38" s="282">
        <v>16</v>
      </c>
      <c r="G38" s="283">
        <v>6</v>
      </c>
      <c r="H38" s="284">
        <v>10</v>
      </c>
      <c r="I38" s="130">
        <v>0.98</v>
      </c>
      <c r="J38" s="130">
        <f t="shared" si="1"/>
        <v>5.88</v>
      </c>
      <c r="K38" s="298">
        <f>IF($H38=5,$J38*$B$19,0)</f>
        <v>0</v>
      </c>
      <c r="L38" s="299">
        <f>IF($H38=6.3,$J38*$B$20,0)</f>
        <v>0</v>
      </c>
      <c r="M38" s="299">
        <f>IF($H38=10,$J38*$B$22,0)</f>
        <v>3.7044000000000001</v>
      </c>
      <c r="N38" s="299">
        <f>IF($H38=12.5,$J38*$B$23,0)</f>
        <v>0</v>
      </c>
      <c r="O38" s="300">
        <f>IF($H38=16,$J38*$B$24,0)</f>
        <v>0</v>
      </c>
      <c r="P38" s="296"/>
    </row>
    <row r="39" spans="4:17" x14ac:dyDescent="0.2">
      <c r="D39" s="302"/>
      <c r="E39" s="303" t="s">
        <v>108</v>
      </c>
      <c r="F39" s="282">
        <v>17</v>
      </c>
      <c r="G39" s="283">
        <v>3</v>
      </c>
      <c r="H39" s="284">
        <v>5</v>
      </c>
      <c r="I39" s="130">
        <v>0.98</v>
      </c>
      <c r="J39" s="130">
        <f t="shared" si="1"/>
        <v>2.94</v>
      </c>
      <c r="K39" s="298">
        <f>IF($H39=5,$J39*$B$19,0)</f>
        <v>0.47039999999999998</v>
      </c>
      <c r="L39" s="299">
        <f>IF($H39=6.3,$J39*$B$20,0)</f>
        <v>0</v>
      </c>
      <c r="M39" s="299">
        <f>IF($H39=10,$J39*$B$22,0)</f>
        <v>0</v>
      </c>
      <c r="N39" s="299">
        <f>IF($H39=12.5,$J39*$B$23,0)</f>
        <v>0</v>
      </c>
      <c r="O39" s="300">
        <f>IF($H39=16,$J39*$B$24,0)</f>
        <v>0</v>
      </c>
      <c r="P39" s="296"/>
    </row>
    <row r="40" spans="4:17" x14ac:dyDescent="0.2">
      <c r="D40" s="301" t="s">
        <v>72</v>
      </c>
      <c r="E40" s="323" t="s">
        <v>108</v>
      </c>
      <c r="F40" s="279">
        <v>18</v>
      </c>
      <c r="G40" s="280">
        <v>5</v>
      </c>
      <c r="H40" s="281">
        <v>10</v>
      </c>
      <c r="I40" s="129">
        <v>1.64</v>
      </c>
      <c r="J40" s="129">
        <f t="shared" si="1"/>
        <v>8.1999999999999993</v>
      </c>
      <c r="K40" s="293">
        <f>IF($H40=5,$J40*$B$19,0)</f>
        <v>0</v>
      </c>
      <c r="L40" s="294">
        <f>IF($H40=6.3,$J40*$B$20,0)</f>
        <v>0</v>
      </c>
      <c r="M40" s="294">
        <f>IF($H40=10,$J40*$B$22,0)</f>
        <v>5.1659999999999995</v>
      </c>
      <c r="N40" s="294">
        <f>IF($H40=12.5,$J40*$B$23,0)</f>
        <v>0</v>
      </c>
      <c r="O40" s="295">
        <f>IF($H40=16,$J40*$B$24,0)</f>
        <v>0</v>
      </c>
      <c r="P40" s="296"/>
      <c r="Q40" s="69"/>
    </row>
    <row r="41" spans="4:17" x14ac:dyDescent="0.2">
      <c r="D41" s="336"/>
      <c r="E41" s="337" t="s">
        <v>108</v>
      </c>
      <c r="F41" s="338">
        <v>19</v>
      </c>
      <c r="G41" s="339">
        <v>5</v>
      </c>
      <c r="H41" s="340">
        <v>10</v>
      </c>
      <c r="I41" s="341">
        <v>1.62</v>
      </c>
      <c r="J41" s="130">
        <f t="shared" si="1"/>
        <v>8.1000000000000014</v>
      </c>
      <c r="K41" s="298">
        <f>IF($H41=5,$J41*$B$19,0)</f>
        <v>0</v>
      </c>
      <c r="L41" s="299">
        <f>IF($H41=6.3,$J41*$B$20,0)</f>
        <v>0</v>
      </c>
      <c r="M41" s="299">
        <f>IF($H41=10,$J41*$B$22,0)</f>
        <v>5.1030000000000006</v>
      </c>
      <c r="N41" s="299">
        <f>IF($H41=12.5,$J41*$B$23,0)</f>
        <v>0</v>
      </c>
      <c r="O41" s="300">
        <f>IF($H41=16,$J41*$B$24,0)</f>
        <v>0</v>
      </c>
      <c r="P41" s="296"/>
      <c r="Q41" s="69"/>
    </row>
    <row r="42" spans="4:17" x14ac:dyDescent="0.2">
      <c r="D42" s="302"/>
      <c r="E42" s="303" t="s">
        <v>108</v>
      </c>
      <c r="F42" s="282">
        <v>20</v>
      </c>
      <c r="G42" s="283">
        <v>6</v>
      </c>
      <c r="H42" s="284">
        <v>10</v>
      </c>
      <c r="I42" s="130">
        <v>1.03</v>
      </c>
      <c r="J42" s="130">
        <f t="shared" si="1"/>
        <v>6.18</v>
      </c>
      <c r="K42" s="298">
        <f>IF($H42=5,$J42*$B$19,0)</f>
        <v>0</v>
      </c>
      <c r="L42" s="299">
        <f>IF($H42=6.3,$J42*$B$20,0)</f>
        <v>0</v>
      </c>
      <c r="M42" s="299">
        <f>IF($H42=10,$J42*$B$22,0)</f>
        <v>3.8933999999999997</v>
      </c>
      <c r="N42" s="299">
        <f>IF($H42=12.5,$J42*$B$23,0)</f>
        <v>0</v>
      </c>
      <c r="O42" s="300">
        <f>IF($H42=16,$J42*$B$24,0)</f>
        <v>0</v>
      </c>
      <c r="P42" s="296"/>
      <c r="Q42" s="69"/>
    </row>
    <row r="43" spans="4:17" x14ac:dyDescent="0.2">
      <c r="D43" s="305"/>
      <c r="E43" s="324" t="s">
        <v>108</v>
      </c>
      <c r="F43" s="131">
        <v>21</v>
      </c>
      <c r="G43" s="132">
        <v>3</v>
      </c>
      <c r="H43" s="133">
        <v>5</v>
      </c>
      <c r="I43" s="134">
        <v>1.18</v>
      </c>
      <c r="J43" s="134">
        <f t="shared" si="1"/>
        <v>3.54</v>
      </c>
      <c r="K43" s="306">
        <f>IF($H43=5,$J43*$B$19,0)</f>
        <v>0.56640000000000001</v>
      </c>
      <c r="L43" s="307">
        <f>IF($H43=6.3,$J43*$B$20,0)</f>
        <v>0</v>
      </c>
      <c r="M43" s="307">
        <f>IF($H43=10,$J43*$B$22,0)</f>
        <v>0</v>
      </c>
      <c r="N43" s="307">
        <f>IF($H43=12.5,$J43*$B$23,0)</f>
        <v>0</v>
      </c>
      <c r="O43" s="308">
        <f>IF($H43=16,$J43*$B$24,0)</f>
        <v>0</v>
      </c>
      <c r="P43" s="296"/>
      <c r="Q43" s="69"/>
    </row>
    <row r="44" spans="4:17" x14ac:dyDescent="0.2">
      <c r="D44" s="301" t="s">
        <v>73</v>
      </c>
      <c r="E44" s="323" t="s">
        <v>108</v>
      </c>
      <c r="F44" s="279">
        <v>22</v>
      </c>
      <c r="G44" s="280">
        <v>3</v>
      </c>
      <c r="H44" s="281">
        <v>10</v>
      </c>
      <c r="I44" s="129">
        <v>1.1399999999999999</v>
      </c>
      <c r="J44" s="129">
        <f t="shared" si="1"/>
        <v>3.42</v>
      </c>
      <c r="K44" s="293">
        <f>IF($H44=5,$J44*$B$19,0)</f>
        <v>0</v>
      </c>
      <c r="L44" s="294">
        <f>IF($H44=6.3,$J44*$B$20,0)</f>
        <v>0</v>
      </c>
      <c r="M44" s="294">
        <f>IF($H44=10,$J44*$B$22,0)</f>
        <v>2.1545999999999998</v>
      </c>
      <c r="N44" s="294">
        <f>IF($H44=12.5,$J44*$B$23,0)</f>
        <v>0</v>
      </c>
      <c r="O44" s="295">
        <f>IF($H44=16,$J44*$B$24,0)</f>
        <v>0</v>
      </c>
      <c r="P44" s="296"/>
    </row>
    <row r="45" spans="4:17" x14ac:dyDescent="0.2">
      <c r="D45" s="336"/>
      <c r="E45" s="337" t="s">
        <v>108</v>
      </c>
      <c r="F45" s="338">
        <v>23</v>
      </c>
      <c r="G45" s="339">
        <v>3</v>
      </c>
      <c r="H45" s="340">
        <v>10</v>
      </c>
      <c r="I45" s="341">
        <v>1.1200000000000001</v>
      </c>
      <c r="J45" s="341">
        <f t="shared" si="1"/>
        <v>3.3600000000000003</v>
      </c>
      <c r="K45" s="342">
        <f>IF($H45=5,$J45*$B$19,0)</f>
        <v>0</v>
      </c>
      <c r="L45" s="343">
        <f>IF($H45=6.3,$J45*$B$20,0)</f>
        <v>0</v>
      </c>
      <c r="M45" s="343">
        <f>IF($H45=10,$J45*$B$22,0)</f>
        <v>2.1168</v>
      </c>
      <c r="N45" s="343">
        <f>IF($H45=12.5,$J45*$B$23,0)</f>
        <v>0</v>
      </c>
      <c r="O45" s="344">
        <f>IF($H45=16,$J45*$B$24,0)</f>
        <v>0</v>
      </c>
      <c r="P45" s="296"/>
    </row>
    <row r="46" spans="4:17" x14ac:dyDescent="0.2">
      <c r="D46" s="302"/>
      <c r="E46" s="303" t="s">
        <v>108</v>
      </c>
      <c r="F46" s="282">
        <v>24</v>
      </c>
      <c r="G46" s="283">
        <v>4</v>
      </c>
      <c r="H46" s="284">
        <v>10</v>
      </c>
      <c r="I46" s="130">
        <v>0.98</v>
      </c>
      <c r="J46" s="130">
        <f t="shared" si="1"/>
        <v>3.92</v>
      </c>
      <c r="K46" s="298">
        <f>IF($H46=5,$J46*$B$19,0)</f>
        <v>0</v>
      </c>
      <c r="L46" s="299">
        <f>IF($H46=6.3,$J46*$B$20,0)</f>
        <v>0</v>
      </c>
      <c r="M46" s="299">
        <f>IF($H46=10,$J46*$B$22,0)</f>
        <v>2.4695999999999998</v>
      </c>
      <c r="N46" s="299">
        <f>IF($H46=12.5,$J46*$B$23,0)</f>
        <v>0</v>
      </c>
      <c r="O46" s="300">
        <f>IF($H46=16,$J46*$B$24,0)</f>
        <v>0</v>
      </c>
      <c r="P46" s="296"/>
    </row>
    <row r="47" spans="4:17" x14ac:dyDescent="0.2">
      <c r="D47" s="302"/>
      <c r="E47" s="303" t="s">
        <v>108</v>
      </c>
      <c r="F47" s="282">
        <v>25</v>
      </c>
      <c r="G47" s="283">
        <v>3</v>
      </c>
      <c r="H47" s="284">
        <v>5</v>
      </c>
      <c r="I47" s="130">
        <v>0.72</v>
      </c>
      <c r="J47" s="130">
        <f t="shared" si="1"/>
        <v>2.16</v>
      </c>
      <c r="K47" s="298">
        <f>IF($H47=5,$J47*$B$19,0)</f>
        <v>0.34560000000000002</v>
      </c>
      <c r="L47" s="299">
        <f>IF($H47=6.3,$J47*$B$20,0)</f>
        <v>0</v>
      </c>
      <c r="M47" s="299">
        <f>IF($H47=10,$J47*$B$22,0)</f>
        <v>0</v>
      </c>
      <c r="N47" s="299">
        <f>IF($H47=12.5,$J47*$B$23,0)</f>
        <v>0</v>
      </c>
      <c r="O47" s="300">
        <f>IF($H47=16,$J47*$B$24,0)</f>
        <v>0</v>
      </c>
      <c r="P47" s="296"/>
    </row>
    <row r="48" spans="4:17" x14ac:dyDescent="0.2">
      <c r="D48" s="301" t="s">
        <v>74</v>
      </c>
      <c r="E48" s="323" t="s">
        <v>108</v>
      </c>
      <c r="F48" s="279">
        <v>26</v>
      </c>
      <c r="G48" s="280">
        <v>4</v>
      </c>
      <c r="H48" s="281">
        <v>10</v>
      </c>
      <c r="I48" s="129">
        <v>1.24</v>
      </c>
      <c r="J48" s="129">
        <f t="shared" si="1"/>
        <v>4.96</v>
      </c>
      <c r="K48" s="293">
        <f>IF($H48=5,$J48*$B$19,0)</f>
        <v>0</v>
      </c>
      <c r="L48" s="294">
        <f>IF($H48=6.3,$J48*$B$20,0)</f>
        <v>0</v>
      </c>
      <c r="M48" s="294">
        <f>IF($H48=10,$J48*$B$22,0)</f>
        <v>3.1248</v>
      </c>
      <c r="N48" s="294">
        <f>IF($H48=12.5,$J48*$B$23,0)</f>
        <v>0</v>
      </c>
      <c r="O48" s="295">
        <f>IF($H48=16,$J48*$B$24,0)</f>
        <v>0</v>
      </c>
      <c r="P48" s="296"/>
      <c r="Q48" s="69"/>
    </row>
    <row r="49" spans="4:17" x14ac:dyDescent="0.2">
      <c r="D49" s="336"/>
      <c r="E49" s="337" t="s">
        <v>108</v>
      </c>
      <c r="F49" s="338">
        <v>27</v>
      </c>
      <c r="G49" s="339">
        <v>4</v>
      </c>
      <c r="H49" s="340">
        <v>10</v>
      </c>
      <c r="I49" s="341">
        <v>1.22</v>
      </c>
      <c r="J49" s="341">
        <f t="shared" si="1"/>
        <v>4.88</v>
      </c>
      <c r="K49" s="342">
        <f>IF($H49=5,$J49*$B$19,0)</f>
        <v>0</v>
      </c>
      <c r="L49" s="343">
        <f>IF($H49=6.3,$J49*$B$20,0)</f>
        <v>0</v>
      </c>
      <c r="M49" s="343">
        <f>IF($H49=10,$J49*$B$22,0)</f>
        <v>3.0743999999999998</v>
      </c>
      <c r="N49" s="343">
        <f>IF($H49=12.5,$J49*$B$23,0)</f>
        <v>0</v>
      </c>
      <c r="O49" s="344">
        <f>IF($H49=16,$J49*$B$24,0)</f>
        <v>0</v>
      </c>
      <c r="P49" s="296"/>
      <c r="Q49" s="69"/>
    </row>
    <row r="50" spans="4:17" x14ac:dyDescent="0.2">
      <c r="D50" s="336"/>
      <c r="E50" s="337" t="s">
        <v>108</v>
      </c>
      <c r="F50" s="338">
        <v>28</v>
      </c>
      <c r="G50" s="339">
        <v>6</v>
      </c>
      <c r="H50" s="340">
        <v>10</v>
      </c>
      <c r="I50" s="341">
        <v>2.38</v>
      </c>
      <c r="J50" s="341">
        <f t="shared" si="1"/>
        <v>14.28</v>
      </c>
      <c r="K50" s="342">
        <f>IF($H50=5,$J50*$B$19,0)</f>
        <v>0</v>
      </c>
      <c r="L50" s="343">
        <f>IF($H50=6.3,$J50*$B$20,0)</f>
        <v>0</v>
      </c>
      <c r="M50" s="343">
        <f>IF($H50=10,$J50*$B$22,0)</f>
        <v>8.9963999999999995</v>
      </c>
      <c r="N50" s="343">
        <f>IF($H50=12.5,$J50*$B$23,0)</f>
        <v>0</v>
      </c>
      <c r="O50" s="344">
        <f>IF($H50=16,$J50*$B$24,0)</f>
        <v>0</v>
      </c>
      <c r="P50" s="296"/>
      <c r="Q50" s="69"/>
    </row>
    <row r="51" spans="4:17" x14ac:dyDescent="0.2">
      <c r="D51" s="302"/>
      <c r="E51" s="303" t="s">
        <v>108</v>
      </c>
      <c r="F51" s="282">
        <v>29</v>
      </c>
      <c r="G51" s="283">
        <v>3</v>
      </c>
      <c r="H51" s="284">
        <v>5</v>
      </c>
      <c r="I51" s="130">
        <v>0.98</v>
      </c>
      <c r="J51" s="130">
        <f t="shared" si="1"/>
        <v>2.94</v>
      </c>
      <c r="K51" s="298">
        <f>IF($H51=5,$J51*$B$19,0)</f>
        <v>0.47039999999999998</v>
      </c>
      <c r="L51" s="299">
        <f>IF($H51=6.3,$J51*$B$20,0)</f>
        <v>0</v>
      </c>
      <c r="M51" s="299">
        <f>IF($H51=10,$J51*$B$22,0)</f>
        <v>0</v>
      </c>
      <c r="N51" s="299">
        <f>IF($H51=12.5,$J51*$B$23,0)</f>
        <v>0</v>
      </c>
      <c r="O51" s="300">
        <f>IF($H51=16,$J51*$B$24,0)</f>
        <v>0</v>
      </c>
      <c r="P51" s="296"/>
      <c r="Q51" s="69"/>
    </row>
    <row r="52" spans="4:17" x14ac:dyDescent="0.2">
      <c r="D52" s="346" t="s">
        <v>75</v>
      </c>
      <c r="E52" s="323" t="s">
        <v>108</v>
      </c>
      <c r="F52" s="279">
        <v>30</v>
      </c>
      <c r="G52" s="280">
        <v>4</v>
      </c>
      <c r="H52" s="281">
        <v>10</v>
      </c>
      <c r="I52" s="129">
        <v>1.39</v>
      </c>
      <c r="J52" s="129">
        <f t="shared" si="1"/>
        <v>5.56</v>
      </c>
      <c r="K52" s="293">
        <f>IF($H52=5,$J52*$B$19,0)</f>
        <v>0</v>
      </c>
      <c r="L52" s="294">
        <f>IF($H52=6.3,$J52*$B$20,0)</f>
        <v>0</v>
      </c>
      <c r="M52" s="294">
        <f>IF($H52=10,$J52*$B$22,0)</f>
        <v>3.5027999999999997</v>
      </c>
      <c r="N52" s="294">
        <f>IF($H52=12.5,$J52*$B$23,0)</f>
        <v>0</v>
      </c>
      <c r="O52" s="295">
        <f>IF($H52=16,$J52*$B$24,0)</f>
        <v>0</v>
      </c>
      <c r="P52" s="296"/>
      <c r="Q52" s="309"/>
    </row>
    <row r="53" spans="4:17" x14ac:dyDescent="0.2">
      <c r="D53" s="347"/>
      <c r="E53" s="303" t="s">
        <v>108</v>
      </c>
      <c r="F53" s="282">
        <v>31</v>
      </c>
      <c r="G53" s="283">
        <v>4</v>
      </c>
      <c r="H53" s="284">
        <v>10</v>
      </c>
      <c r="I53" s="130">
        <v>1.37</v>
      </c>
      <c r="J53" s="130">
        <f t="shared" si="1"/>
        <v>5.48</v>
      </c>
      <c r="K53" s="298">
        <f>IF($H53=5,$J53*$B$19,0)</f>
        <v>0</v>
      </c>
      <c r="L53" s="299">
        <f>IF($H53=6.3,$J53*$B$20,0)</f>
        <v>0</v>
      </c>
      <c r="M53" s="299">
        <f>IF($H53=10,$J53*$B$22,0)</f>
        <v>3.4524000000000004</v>
      </c>
      <c r="N53" s="299">
        <f>IF($H53=12.5,$J53*$B$23,0)</f>
        <v>0</v>
      </c>
      <c r="O53" s="300">
        <f>IF($H53=16,$J53*$B$24,0)</f>
        <v>0</v>
      </c>
      <c r="P53" s="296"/>
      <c r="Q53" s="309"/>
    </row>
    <row r="54" spans="4:17" x14ac:dyDescent="0.2">
      <c r="D54" s="347"/>
      <c r="E54" s="303" t="s">
        <v>108</v>
      </c>
      <c r="F54" s="282">
        <v>32</v>
      </c>
      <c r="G54" s="283">
        <v>6</v>
      </c>
      <c r="H54" s="284">
        <v>10</v>
      </c>
      <c r="I54" s="130">
        <v>0.98</v>
      </c>
      <c r="J54" s="130">
        <f t="shared" si="1"/>
        <v>5.88</v>
      </c>
      <c r="K54" s="298">
        <f>IF($H54=5,$J54*$B$19,0)</f>
        <v>0</v>
      </c>
      <c r="L54" s="299">
        <f>IF($H54=6.3,$J54*$B$20,0)</f>
        <v>0</v>
      </c>
      <c r="M54" s="299">
        <f>IF($H54=10,$J54*$B$22,0)</f>
        <v>3.7044000000000001</v>
      </c>
      <c r="N54" s="299">
        <f>IF($H54=12.5,$J54*$B$23,0)</f>
        <v>0</v>
      </c>
      <c r="O54" s="300">
        <f>IF($H54=16,$J54*$B$24,0)</f>
        <v>0</v>
      </c>
      <c r="P54" s="296"/>
      <c r="Q54" s="309"/>
    </row>
    <row r="55" spans="4:17" ht="13.5" thickBot="1" x14ac:dyDescent="0.25">
      <c r="D55" s="348"/>
      <c r="E55" s="326" t="s">
        <v>108</v>
      </c>
      <c r="F55" s="331">
        <v>33</v>
      </c>
      <c r="G55" s="332">
        <v>3</v>
      </c>
      <c r="H55" s="333">
        <v>5</v>
      </c>
      <c r="I55" s="334">
        <v>0.98</v>
      </c>
      <c r="J55" s="334">
        <f t="shared" si="1"/>
        <v>2.94</v>
      </c>
      <c r="K55" s="310">
        <f>IF($H55=5,$J55*$B$19,0)</f>
        <v>0.47039999999999998</v>
      </c>
      <c r="L55" s="311">
        <f>IF($H55=6.3,$J55*$B$20,0)</f>
        <v>0</v>
      </c>
      <c r="M55" s="311">
        <f>IF($H55=10,$J55*$B$22,0)</f>
        <v>0</v>
      </c>
      <c r="N55" s="311">
        <f>IF($H55=12.5,$J55*$B$23,0)</f>
        <v>0</v>
      </c>
      <c r="O55" s="312">
        <f>IF($H55=16,$J55*$B$24,0)</f>
        <v>0</v>
      </c>
      <c r="P55" s="313"/>
      <c r="Q55" s="309"/>
    </row>
    <row r="56" spans="4:17" ht="10.5" customHeight="1" thickTop="1" thickBot="1" x14ac:dyDescent="0.25">
      <c r="D56" s="309"/>
      <c r="E56" s="309"/>
      <c r="F56" s="335"/>
      <c r="G56" s="335"/>
      <c r="H56" s="335"/>
      <c r="I56" s="335"/>
      <c r="J56" s="335"/>
      <c r="K56" s="314"/>
      <c r="L56" s="314"/>
      <c r="M56" s="314"/>
      <c r="N56" s="314"/>
      <c r="O56" s="314"/>
    </row>
    <row r="57" spans="4:17" ht="14.25" thickTop="1" thickBot="1" x14ac:dyDescent="0.25">
      <c r="D57" s="315"/>
      <c r="E57" s="316"/>
      <c r="F57" s="317"/>
      <c r="G57" s="317"/>
      <c r="H57" s="317"/>
      <c r="I57" s="317"/>
      <c r="J57" s="370" t="s">
        <v>119</v>
      </c>
      <c r="K57" s="318">
        <f>SUM(K23:K56)</f>
        <v>3.6096000000000004</v>
      </c>
      <c r="L57" s="319">
        <f>SUM(L23:L56)</f>
        <v>0</v>
      </c>
      <c r="M57" s="319">
        <f>SUM(M23:M56)</f>
        <v>93.958199999999977</v>
      </c>
      <c r="N57" s="319">
        <f>SUM(N23:N56)</f>
        <v>2.16</v>
      </c>
      <c r="O57" s="319">
        <f>SUM(O23:O56)</f>
        <v>0</v>
      </c>
    </row>
    <row r="58" spans="4:17" ht="13.5" thickTop="1" x14ac:dyDescent="0.2">
      <c r="D58" s="309"/>
      <c r="E58" s="309"/>
      <c r="K58" s="309"/>
      <c r="L58" s="309"/>
      <c r="M58" s="309"/>
      <c r="N58" s="309"/>
      <c r="O58" s="309"/>
    </row>
    <row r="59" spans="4:17" x14ac:dyDescent="0.2">
      <c r="D59" s="309"/>
      <c r="E59" s="309"/>
      <c r="K59" s="309"/>
      <c r="L59" s="309"/>
      <c r="M59" s="309"/>
      <c r="N59" s="309"/>
      <c r="O59" s="309"/>
    </row>
  </sheetData>
  <mergeCells count="28">
    <mergeCell ref="D44:D47"/>
    <mergeCell ref="D48:D51"/>
    <mergeCell ref="D52:D55"/>
    <mergeCell ref="D23:D26"/>
    <mergeCell ref="D27:D31"/>
    <mergeCell ref="D32:D35"/>
    <mergeCell ref="D36:D39"/>
    <mergeCell ref="D40:D43"/>
    <mergeCell ref="D17:J17"/>
    <mergeCell ref="D19:P19"/>
    <mergeCell ref="D20:P20"/>
    <mergeCell ref="D21:J21"/>
    <mergeCell ref="K21:O21"/>
    <mergeCell ref="P21:P22"/>
    <mergeCell ref="D9:L9"/>
    <mergeCell ref="D11:P11"/>
    <mergeCell ref="D12:P12"/>
    <mergeCell ref="D13:P13"/>
    <mergeCell ref="D14:J16"/>
    <mergeCell ref="K14:P14"/>
    <mergeCell ref="L15:O15"/>
    <mergeCell ref="P15:P16"/>
    <mergeCell ref="D1:P1"/>
    <mergeCell ref="D2:P2"/>
    <mergeCell ref="D3:P3"/>
    <mergeCell ref="D4:P4"/>
    <mergeCell ref="D5:P5"/>
    <mergeCell ref="D6:P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7" fitToHeight="5" orientation="portrait" verticalDpi="0" r:id="rId1"/>
  <headerFooter>
    <oddFooter>&amp;C&amp;8Rua Ferreira Pena, 1.109 – Centro – Manaus/AM – Cel: (0**92) 98415-0793, Fone: (0**92) 3306-0045 – e-mail: enge.ifam@ifam.edu.br 
DIRETORIA DE OBRAS E SERVIÇOS DE ENGENHARIA - DOSE/IFAM&amp;R&amp;9Página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57"/>
  <sheetViews>
    <sheetView zoomScaleNormal="100" workbookViewId="0">
      <selection activeCell="J36" sqref="J36"/>
    </sheetView>
  </sheetViews>
  <sheetFormatPr defaultRowHeight="12.75" x14ac:dyDescent="0.2"/>
  <cols>
    <col min="1" max="4" width="9.140625" style="289"/>
    <col min="5" max="5" width="14.7109375" style="289" customWidth="1"/>
    <col min="6" max="8" width="9.140625" style="289"/>
    <col min="9" max="9" width="10.28515625" style="289" bestFit="1" customWidth="1"/>
    <col min="10" max="10" width="14.28515625" style="289" bestFit="1" customWidth="1"/>
    <col min="11" max="15" width="9.140625" style="289"/>
    <col min="16" max="16" width="15.42578125" style="289" customWidth="1"/>
    <col min="17" max="16384" width="9.140625" style="289"/>
  </cols>
  <sheetData>
    <row r="1" spans="1:16" ht="12.95" customHeight="1" x14ac:dyDescent="0.2">
      <c r="B1" s="290"/>
      <c r="C1" s="290"/>
      <c r="D1" s="291" t="s">
        <v>56</v>
      </c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</row>
    <row r="2" spans="1:16" ht="12.95" customHeight="1" x14ac:dyDescent="0.2">
      <c r="B2" s="290"/>
      <c r="C2" s="290"/>
      <c r="D2" s="291" t="s">
        <v>57</v>
      </c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1:16" ht="12.95" customHeight="1" x14ac:dyDescent="0.2">
      <c r="B3" s="290"/>
      <c r="C3" s="290"/>
      <c r="D3" s="291" t="s">
        <v>60</v>
      </c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2.95" customHeight="1" x14ac:dyDescent="0.2">
      <c r="B4" s="290"/>
      <c r="C4" s="290"/>
      <c r="D4" s="291" t="s">
        <v>58</v>
      </c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</row>
    <row r="5" spans="1:16" ht="12.95" customHeight="1" x14ac:dyDescent="0.2">
      <c r="B5" s="290"/>
      <c r="C5" s="290"/>
      <c r="D5" s="291" t="s">
        <v>59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16" ht="12.95" customHeight="1" x14ac:dyDescent="0.2">
      <c r="B6" s="290"/>
      <c r="C6" s="290"/>
      <c r="D6" s="291" t="s">
        <v>82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1:16" ht="5.0999999999999996" customHeight="1" x14ac:dyDescent="0.2">
      <c r="B7" s="290"/>
      <c r="C7" s="290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</row>
    <row r="8" spans="1:16" ht="12.95" customHeight="1" x14ac:dyDescent="0.2">
      <c r="B8" s="290"/>
      <c r="C8" s="290"/>
      <c r="D8" s="119" t="str">
        <f>'Lev SAPATAS'!A8</f>
        <v>Obra: REFORMA E AMPLIAÇÃO DA UNIDADE EDUCACIONAL DE PRODUÇÃO - UEP - CAMPUS LÁBREA</v>
      </c>
      <c r="E8" s="119"/>
      <c r="F8" s="119"/>
      <c r="G8" s="292"/>
      <c r="H8" s="292"/>
      <c r="I8" s="292"/>
      <c r="J8" s="292"/>
      <c r="K8" s="292"/>
      <c r="L8" s="292"/>
      <c r="M8" s="292"/>
      <c r="N8" s="292"/>
      <c r="O8" s="292"/>
    </row>
    <row r="9" spans="1:16" ht="12.95" customHeight="1" x14ac:dyDescent="0.2">
      <c r="A9" s="292"/>
      <c r="B9" s="292"/>
      <c r="C9" s="292"/>
      <c r="D9" s="366" t="str">
        <f>'Lev SAPATAS'!A9</f>
        <v xml:space="preserve">Endereço: Av. 22 de Outubro, S/Nº. Bairro: Vila Falcão Município: Lábrea/AM – CEP: 69.830-000 </v>
      </c>
      <c r="E9" s="190"/>
      <c r="F9" s="190"/>
      <c r="G9" s="190"/>
      <c r="H9" s="190"/>
      <c r="I9" s="190"/>
      <c r="J9" s="190"/>
      <c r="K9" s="190"/>
      <c r="L9" s="190"/>
    </row>
    <row r="10" spans="1:16" ht="5.0999999999999996" customHeight="1" thickBot="1" x14ac:dyDescent="0.25">
      <c r="A10" s="292"/>
      <c r="B10" s="292"/>
      <c r="C10" s="292"/>
      <c r="D10" s="155"/>
      <c r="E10" s="368"/>
      <c r="F10" s="368"/>
      <c r="G10" s="368"/>
      <c r="H10" s="368"/>
      <c r="I10" s="368"/>
      <c r="J10" s="368"/>
      <c r="K10" s="368"/>
      <c r="L10" s="368"/>
      <c r="M10" s="369"/>
    </row>
    <row r="11" spans="1:16" s="56" customFormat="1" ht="16.5" customHeight="1" thickTop="1" x14ac:dyDescent="0.2">
      <c r="D11" s="229" t="s">
        <v>79</v>
      </c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1"/>
    </row>
    <row r="12" spans="1:16" s="56" customFormat="1" ht="15.75" customHeight="1" x14ac:dyDescent="0.2">
      <c r="D12" s="191" t="str">
        <f>D8</f>
        <v>Obra: REFORMA E AMPLIAÇÃO DA UNIDADE EDUCACIONAL DE PRODUÇÃO - UEP - CAMPUS LÁBREA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3"/>
    </row>
    <row r="13" spans="1:16" s="56" customFormat="1" ht="15.75" customHeight="1" thickBot="1" x14ac:dyDescent="0.25">
      <c r="D13" s="194" t="s">
        <v>40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6"/>
    </row>
    <row r="14" spans="1:16" s="56" customFormat="1" ht="15" customHeight="1" x14ac:dyDescent="0.2">
      <c r="D14" s="222" t="s">
        <v>27</v>
      </c>
      <c r="E14" s="223"/>
      <c r="F14" s="223"/>
      <c r="G14" s="223"/>
      <c r="H14" s="223"/>
      <c r="I14" s="223"/>
      <c r="J14" s="223"/>
      <c r="K14" s="197" t="s">
        <v>62</v>
      </c>
      <c r="L14" s="198"/>
      <c r="M14" s="198"/>
      <c r="N14" s="198"/>
      <c r="O14" s="198"/>
      <c r="P14" s="199"/>
    </row>
    <row r="15" spans="1:16" s="56" customFormat="1" ht="15" customHeight="1" x14ac:dyDescent="0.2">
      <c r="D15" s="225"/>
      <c r="E15" s="226"/>
      <c r="F15" s="226"/>
      <c r="G15" s="226"/>
      <c r="H15" s="226"/>
      <c r="I15" s="226"/>
      <c r="J15" s="226"/>
      <c r="K15" s="158" t="s">
        <v>64</v>
      </c>
      <c r="L15" s="200" t="s">
        <v>61</v>
      </c>
      <c r="M15" s="201"/>
      <c r="N15" s="201"/>
      <c r="O15" s="201"/>
      <c r="P15" s="220" t="s">
        <v>77</v>
      </c>
    </row>
    <row r="16" spans="1:16" s="56" customFormat="1" ht="15.75" customHeight="1" thickBot="1" x14ac:dyDescent="0.25">
      <c r="D16" s="227"/>
      <c r="E16" s="228"/>
      <c r="F16" s="228"/>
      <c r="G16" s="228"/>
      <c r="H16" s="228"/>
      <c r="I16" s="228"/>
      <c r="J16" s="228"/>
      <c r="K16" s="116">
        <v>5</v>
      </c>
      <c r="L16" s="61">
        <v>6.3</v>
      </c>
      <c r="M16" s="61">
        <v>10</v>
      </c>
      <c r="N16" s="61">
        <v>12.5</v>
      </c>
      <c r="O16" s="137">
        <v>16</v>
      </c>
      <c r="P16" s="221"/>
    </row>
    <row r="17" spans="1:17" s="56" customFormat="1" ht="12.75" customHeight="1" thickBot="1" x14ac:dyDescent="0.25">
      <c r="D17" s="207" t="s">
        <v>67</v>
      </c>
      <c r="E17" s="208"/>
      <c r="F17" s="208"/>
      <c r="G17" s="208"/>
      <c r="H17" s="208"/>
      <c r="I17" s="208"/>
      <c r="J17" s="208"/>
      <c r="K17" s="387">
        <f>K55</f>
        <v>52.956799999999994</v>
      </c>
      <c r="L17" s="388">
        <f>L55</f>
        <v>0</v>
      </c>
      <c r="M17" s="388">
        <f>M55</f>
        <v>117.43200000000002</v>
      </c>
      <c r="N17" s="388">
        <f>N55</f>
        <v>3.8</v>
      </c>
      <c r="O17" s="389">
        <f>O55</f>
        <v>0</v>
      </c>
      <c r="P17" s="390">
        <f>SUM(K17:O17)</f>
        <v>174.18880000000001</v>
      </c>
    </row>
    <row r="18" spans="1:17" ht="13.5" thickBot="1" x14ac:dyDescent="0.25">
      <c r="A18" s="56" t="s">
        <v>50</v>
      </c>
      <c r="B18" s="56">
        <v>0.11</v>
      </c>
    </row>
    <row r="19" spans="1:17" s="56" customFormat="1" ht="13.5" thickTop="1" x14ac:dyDescent="0.2">
      <c r="A19" s="56" t="s">
        <v>42</v>
      </c>
      <c r="B19" s="56">
        <v>0.16</v>
      </c>
      <c r="D19" s="209" t="s">
        <v>65</v>
      </c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1"/>
    </row>
    <row r="20" spans="1:17" s="56" customFormat="1" ht="13.5" thickBot="1" x14ac:dyDescent="0.25">
      <c r="A20" s="56" t="s">
        <v>43</v>
      </c>
      <c r="B20" s="56">
        <v>0.25</v>
      </c>
      <c r="D20" s="212" t="str">
        <f>D8</f>
        <v>Obra: REFORMA E AMPLIAÇÃO DA UNIDADE EDUCACIONAL DE PRODUÇÃO - UEP - CAMPUS LÁBREA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4"/>
    </row>
    <row r="21" spans="1:17" s="56" customFormat="1" ht="15" customHeight="1" x14ac:dyDescent="0.2">
      <c r="A21" s="56" t="s">
        <v>44</v>
      </c>
      <c r="B21" s="56">
        <v>0.4</v>
      </c>
      <c r="D21" s="205" t="s">
        <v>27</v>
      </c>
      <c r="E21" s="206"/>
      <c r="F21" s="206"/>
      <c r="G21" s="206"/>
      <c r="H21" s="206"/>
      <c r="I21" s="206"/>
      <c r="J21" s="206"/>
      <c r="K21" s="217" t="s">
        <v>62</v>
      </c>
      <c r="L21" s="218"/>
      <c r="M21" s="218"/>
      <c r="N21" s="218"/>
      <c r="O21" s="219"/>
      <c r="P21" s="215" t="s">
        <v>76</v>
      </c>
    </row>
    <row r="22" spans="1:17" s="56" customFormat="1" ht="13.5" thickBot="1" x14ac:dyDescent="0.25">
      <c r="A22" s="56" t="s">
        <v>45</v>
      </c>
      <c r="B22" s="56">
        <v>0.63</v>
      </c>
      <c r="D22" s="140" t="s">
        <v>66</v>
      </c>
      <c r="E22" s="148" t="s">
        <v>80</v>
      </c>
      <c r="F22" s="141" t="s">
        <v>29</v>
      </c>
      <c r="G22" s="142" t="s">
        <v>30</v>
      </c>
      <c r="H22" s="142" t="s">
        <v>31</v>
      </c>
      <c r="I22" s="143" t="s">
        <v>51</v>
      </c>
      <c r="J22" s="143" t="s">
        <v>52</v>
      </c>
      <c r="K22" s="144">
        <v>5</v>
      </c>
      <c r="L22" s="145">
        <v>6.3</v>
      </c>
      <c r="M22" s="145">
        <v>10</v>
      </c>
      <c r="N22" s="145">
        <v>12.5</v>
      </c>
      <c r="O22" s="146">
        <v>16</v>
      </c>
      <c r="P22" s="216"/>
    </row>
    <row r="23" spans="1:17" s="56" customFormat="1" x14ac:dyDescent="0.2">
      <c r="A23" s="56" t="s">
        <v>46</v>
      </c>
      <c r="B23" s="56">
        <v>1</v>
      </c>
      <c r="C23" s="78"/>
      <c r="D23" s="204" t="s">
        <v>106</v>
      </c>
      <c r="E23" s="320" t="s">
        <v>94</v>
      </c>
      <c r="F23" s="327">
        <v>1</v>
      </c>
      <c r="G23" s="328">
        <v>56</v>
      </c>
      <c r="H23" s="329">
        <v>5</v>
      </c>
      <c r="I23" s="330">
        <v>0.99</v>
      </c>
      <c r="J23" s="330">
        <f>G23*I23</f>
        <v>55.44</v>
      </c>
      <c r="K23" s="135">
        <f>IF($H23=5,$J23*$B$19,0)</f>
        <v>8.8704000000000001</v>
      </c>
      <c r="L23" s="128">
        <f>IF($H23=6.3,$J23*$B$20,0)</f>
        <v>0</v>
      </c>
      <c r="M23" s="128">
        <f>IF($H23=10,$J23*$B$22,0)</f>
        <v>0</v>
      </c>
      <c r="N23" s="128">
        <f>IF($H23=12.5,$J23*$B$23,0)</f>
        <v>0</v>
      </c>
      <c r="O23" s="138">
        <f>IF($H23=16,$J23*$B$24,0)</f>
        <v>0</v>
      </c>
      <c r="P23" s="147"/>
    </row>
    <row r="24" spans="1:17" s="56" customFormat="1" x14ac:dyDescent="0.2">
      <c r="A24" s="56" t="s">
        <v>47</v>
      </c>
      <c r="B24" s="56">
        <v>1.6</v>
      </c>
      <c r="C24" s="78"/>
      <c r="D24" s="203"/>
      <c r="E24" s="321" t="s">
        <v>94</v>
      </c>
      <c r="F24" s="282">
        <v>2</v>
      </c>
      <c r="G24" s="283">
        <v>50</v>
      </c>
      <c r="H24" s="284">
        <v>5</v>
      </c>
      <c r="I24" s="130">
        <v>0.22</v>
      </c>
      <c r="J24" s="130">
        <f t="shared" ref="J24:J25" si="0">G24*I24</f>
        <v>11</v>
      </c>
      <c r="K24" s="136">
        <f>IF($H24=5,$J24*$B$19,0)</f>
        <v>1.76</v>
      </c>
      <c r="L24" s="127">
        <f>IF($H24=6.3,$J24*$B$20,0)</f>
        <v>0</v>
      </c>
      <c r="M24" s="127">
        <f>IF($H24=10,$J24*$B$22,0)</f>
        <v>0</v>
      </c>
      <c r="N24" s="127">
        <f>IF($H24=12.5,$J24*$B$23,0)</f>
        <v>0</v>
      </c>
      <c r="O24" s="139">
        <f>IF($H24=16,$J24*$B$24,0)</f>
        <v>0</v>
      </c>
      <c r="P24" s="147"/>
    </row>
    <row r="25" spans="1:17" s="56" customFormat="1" x14ac:dyDescent="0.2">
      <c r="A25" s="56" t="s">
        <v>48</v>
      </c>
      <c r="B25" s="56">
        <v>2.5</v>
      </c>
      <c r="C25" s="78"/>
      <c r="D25" s="203"/>
      <c r="E25" s="321" t="s">
        <v>94</v>
      </c>
      <c r="F25" s="282">
        <v>3</v>
      </c>
      <c r="G25" s="283">
        <v>12</v>
      </c>
      <c r="H25" s="284">
        <v>10</v>
      </c>
      <c r="I25" s="130">
        <v>3.75</v>
      </c>
      <c r="J25" s="130">
        <f t="shared" si="0"/>
        <v>45</v>
      </c>
      <c r="K25" s="136">
        <f>IF($H25=5,$J25*$B$19,0)</f>
        <v>0</v>
      </c>
      <c r="L25" s="127">
        <f>IF($H25=6.3,$J25*$B$20,0)</f>
        <v>0</v>
      </c>
      <c r="M25" s="127">
        <f>IF($H25=10,$J25*$B$22,0)</f>
        <v>28.35</v>
      </c>
      <c r="N25" s="127">
        <f>IF($H25=12.5,$J25*$B$23,0)</f>
        <v>0</v>
      </c>
      <c r="O25" s="139">
        <f>IF($H25=16,$J25*$B$24,0)</f>
        <v>0</v>
      </c>
      <c r="P25" s="147"/>
    </row>
    <row r="26" spans="1:17" x14ac:dyDescent="0.2">
      <c r="A26" s="56" t="s">
        <v>49</v>
      </c>
      <c r="B26" s="56">
        <v>3.85</v>
      </c>
      <c r="D26" s="202" t="s">
        <v>68</v>
      </c>
      <c r="E26" s="322" t="s">
        <v>63</v>
      </c>
      <c r="F26" s="279">
        <v>1</v>
      </c>
      <c r="G26" s="280">
        <v>12</v>
      </c>
      <c r="H26" s="281">
        <v>5</v>
      </c>
      <c r="I26" s="129">
        <v>0.99</v>
      </c>
      <c r="J26" s="129">
        <f>G26*I26</f>
        <v>11.879999999999999</v>
      </c>
      <c r="K26" s="293">
        <f>IF($H26=5,$J26*$B$19,0)</f>
        <v>1.9007999999999998</v>
      </c>
      <c r="L26" s="294">
        <f>IF($H26=6.3,$J26*$B$20,0)</f>
        <v>0</v>
      </c>
      <c r="M26" s="294">
        <f>IF($H26=10,$J26*$B$22,0)</f>
        <v>0</v>
      </c>
      <c r="N26" s="294">
        <f>IF($H26=12.5,$J26*$B$23,0)</f>
        <v>0</v>
      </c>
      <c r="O26" s="295">
        <f>IF($H26=16,$J26*$B$24,0)</f>
        <v>0</v>
      </c>
      <c r="P26" s="296"/>
      <c r="Q26" s="297"/>
    </row>
    <row r="27" spans="1:17" x14ac:dyDescent="0.2">
      <c r="D27" s="203"/>
      <c r="E27" s="321" t="s">
        <v>63</v>
      </c>
      <c r="F27" s="282">
        <v>2</v>
      </c>
      <c r="G27" s="283">
        <v>12</v>
      </c>
      <c r="H27" s="284">
        <v>5</v>
      </c>
      <c r="I27" s="130">
        <v>0.22</v>
      </c>
      <c r="J27" s="130">
        <f t="shared" ref="J27" si="1">G27*I27</f>
        <v>2.64</v>
      </c>
      <c r="K27" s="298">
        <f>IF($H27=5,$J27*$B$19,0)</f>
        <v>0.42240000000000005</v>
      </c>
      <c r="L27" s="299">
        <f>IF($H27=6.3,$J27*$B$20,0)</f>
        <v>0</v>
      </c>
      <c r="M27" s="299">
        <f>IF($H27=10,$J27*$B$22,0)</f>
        <v>0</v>
      </c>
      <c r="N27" s="299">
        <f>IF($H27=12.5,$J27*$B$23,0)</f>
        <v>0</v>
      </c>
      <c r="O27" s="300">
        <f>IF($H27=16,$J27*$B$24,0)</f>
        <v>0</v>
      </c>
      <c r="P27" s="296"/>
      <c r="Q27" s="297"/>
    </row>
    <row r="28" spans="1:17" x14ac:dyDescent="0.2">
      <c r="D28" s="301" t="s">
        <v>69</v>
      </c>
      <c r="E28" s="323" t="s">
        <v>63</v>
      </c>
      <c r="F28" s="279">
        <v>1</v>
      </c>
      <c r="G28" s="280">
        <v>4</v>
      </c>
      <c r="H28" s="281">
        <v>10</v>
      </c>
      <c r="I28" s="129">
        <v>1.8</v>
      </c>
      <c r="J28" s="129">
        <f t="shared" ref="J28:J32" si="2">G28*I28</f>
        <v>7.2</v>
      </c>
      <c r="K28" s="293">
        <f>IF($H28=5,$J28*$B$19,0)</f>
        <v>0</v>
      </c>
      <c r="L28" s="294">
        <f>IF($H28=6.3,$J28*$B$20,0)</f>
        <v>0</v>
      </c>
      <c r="M28" s="294">
        <f>IF($H28=10,$J28*$B$22,0)</f>
        <v>4.5360000000000005</v>
      </c>
      <c r="N28" s="294">
        <f>IF($H28=12.5,$J28*$B$23,0)</f>
        <v>0</v>
      </c>
      <c r="O28" s="295">
        <f>IF($H28=16,$J28*$B$24,0)</f>
        <v>0</v>
      </c>
      <c r="P28" s="296"/>
      <c r="Q28" s="69"/>
    </row>
    <row r="29" spans="1:17" x14ac:dyDescent="0.2">
      <c r="D29" s="302"/>
      <c r="E29" s="303" t="s">
        <v>63</v>
      </c>
      <c r="F29" s="282">
        <v>2</v>
      </c>
      <c r="G29" s="283">
        <v>2</v>
      </c>
      <c r="H29" s="284">
        <v>12.5</v>
      </c>
      <c r="I29" s="130">
        <v>1.9</v>
      </c>
      <c r="J29" s="130">
        <f t="shared" si="2"/>
        <v>3.8</v>
      </c>
      <c r="K29" s="298">
        <f>IF($H29=5,$J29*$B$19,0)</f>
        <v>0</v>
      </c>
      <c r="L29" s="299">
        <f>IF($H29=6.3,$J29*$B$20,0)</f>
        <v>0</v>
      </c>
      <c r="M29" s="299">
        <f>IF($H29=10,$J29*$B$22,0)</f>
        <v>0</v>
      </c>
      <c r="N29" s="299">
        <f>IF($H29=12.5,$J29*$B$23,0)</f>
        <v>3.8</v>
      </c>
      <c r="O29" s="300">
        <f>IF($H29=16,$J29*$B$24,0)</f>
        <v>0</v>
      </c>
      <c r="P29" s="296"/>
      <c r="Q29" s="69"/>
    </row>
    <row r="30" spans="1:17" ht="25.5" x14ac:dyDescent="0.2">
      <c r="D30" s="302"/>
      <c r="E30" s="303" t="s">
        <v>107</v>
      </c>
      <c r="F30" s="282">
        <v>3</v>
      </c>
      <c r="G30" s="283">
        <v>37</v>
      </c>
      <c r="H30" s="284">
        <v>5</v>
      </c>
      <c r="I30" s="130">
        <v>0.99</v>
      </c>
      <c r="J30" s="130">
        <f t="shared" si="2"/>
        <v>36.630000000000003</v>
      </c>
      <c r="K30" s="298">
        <f>IF($H30=5,$J30*$B$19,0)</f>
        <v>5.8608000000000002</v>
      </c>
      <c r="L30" s="299">
        <f>IF($H30=6.3,$J30*$B$20,0)</f>
        <v>0</v>
      </c>
      <c r="M30" s="299">
        <f>IF($H30=10,$J30*$B$22,0)</f>
        <v>0</v>
      </c>
      <c r="N30" s="299">
        <f>IF($H30=12.5,$J30*$B$23,0)</f>
        <v>0</v>
      </c>
      <c r="O30" s="300">
        <f>IF($H30=16,$J30*$B$24,0)</f>
        <v>0</v>
      </c>
      <c r="P30" s="296"/>
      <c r="Q30" s="69"/>
    </row>
    <row r="31" spans="1:17" ht="25.5" x14ac:dyDescent="0.2">
      <c r="D31" s="304"/>
      <c r="E31" s="303" t="s">
        <v>107</v>
      </c>
      <c r="F31" s="285">
        <v>4</v>
      </c>
      <c r="G31" s="286">
        <v>37</v>
      </c>
      <c r="H31" s="287">
        <v>5</v>
      </c>
      <c r="I31" s="288">
        <v>0.22</v>
      </c>
      <c r="J31" s="130">
        <f t="shared" si="2"/>
        <v>8.14</v>
      </c>
      <c r="K31" s="298">
        <f>IF($H31=5,$J31*$B$19,0)</f>
        <v>1.3024000000000002</v>
      </c>
      <c r="L31" s="299">
        <f>IF($H31=6.3,$J31*$B$20,0)</f>
        <v>0</v>
      </c>
      <c r="M31" s="299">
        <f>IF($H31=10,$J31*$B$22,0)</f>
        <v>0</v>
      </c>
      <c r="N31" s="299">
        <f>IF($H31=12.5,$J31*$B$23,0)</f>
        <v>0</v>
      </c>
      <c r="O31" s="300">
        <f>IF($H31=16,$J31*$B$24,0)</f>
        <v>0</v>
      </c>
      <c r="P31" s="296"/>
      <c r="Q31" s="69"/>
    </row>
    <row r="32" spans="1:17" x14ac:dyDescent="0.2">
      <c r="D32" s="305"/>
      <c r="E32" s="324" t="s">
        <v>94</v>
      </c>
      <c r="F32" s="131">
        <v>5</v>
      </c>
      <c r="G32" s="132">
        <v>6</v>
      </c>
      <c r="H32" s="133">
        <v>10</v>
      </c>
      <c r="I32" s="134">
        <v>2.98</v>
      </c>
      <c r="J32" s="134">
        <f t="shared" si="2"/>
        <v>17.88</v>
      </c>
      <c r="K32" s="306">
        <f>IF($H32=5,$J32*$B$19,0)</f>
        <v>0</v>
      </c>
      <c r="L32" s="307">
        <f>IF($H32=6.3,$J32*$B$20,0)</f>
        <v>0</v>
      </c>
      <c r="M32" s="307">
        <f>IF($H32=10,$J32*$B$22,0)</f>
        <v>11.2644</v>
      </c>
      <c r="N32" s="307">
        <f>IF($H32=12.5,$J32*$B$23,0)</f>
        <v>0</v>
      </c>
      <c r="O32" s="308">
        <f>IF($H32=16,$J32*$B$24,0)</f>
        <v>0</v>
      </c>
      <c r="P32" s="296"/>
      <c r="Q32" s="69"/>
    </row>
    <row r="33" spans="4:17" x14ac:dyDescent="0.2">
      <c r="D33" s="301" t="s">
        <v>70</v>
      </c>
      <c r="E33" s="323" t="s">
        <v>63</v>
      </c>
      <c r="F33" s="279">
        <v>1</v>
      </c>
      <c r="G33" s="280">
        <v>4</v>
      </c>
      <c r="H33" s="281">
        <v>10</v>
      </c>
      <c r="I33" s="129">
        <v>1.85</v>
      </c>
      <c r="J33" s="129">
        <f t="shared" ref="J33:J35" si="3">G33*I33</f>
        <v>7.4</v>
      </c>
      <c r="K33" s="293">
        <f>IF($H33=5,$J33*$B$19,0)</f>
        <v>0</v>
      </c>
      <c r="L33" s="294">
        <f>IF($H33=6.3,$J33*$B$20,0)</f>
        <v>0</v>
      </c>
      <c r="M33" s="294">
        <f>IF($H33=10,$J33*$B$22,0)</f>
        <v>4.6619999999999999</v>
      </c>
      <c r="N33" s="294">
        <f>IF($H33=12.5,$J33*$B$23,0)</f>
        <v>0</v>
      </c>
      <c r="O33" s="295">
        <f>IF($H33=16,$J33*$B$24,0)</f>
        <v>0</v>
      </c>
      <c r="P33" s="296"/>
    </row>
    <row r="34" spans="4:17" ht="25.5" x14ac:dyDescent="0.2">
      <c r="D34" s="302"/>
      <c r="E34" s="303" t="s">
        <v>107</v>
      </c>
      <c r="F34" s="282">
        <v>2</v>
      </c>
      <c r="G34" s="283">
        <v>37</v>
      </c>
      <c r="H34" s="284">
        <v>5</v>
      </c>
      <c r="I34" s="130">
        <v>0.73</v>
      </c>
      <c r="J34" s="130">
        <f t="shared" si="3"/>
        <v>27.009999999999998</v>
      </c>
      <c r="K34" s="298">
        <f>IF($H34=5,$J34*$B$19,0)</f>
        <v>4.3216000000000001</v>
      </c>
      <c r="L34" s="299">
        <f>IF($H34=6.3,$J34*$B$20,0)</f>
        <v>0</v>
      </c>
      <c r="M34" s="299">
        <f>IF($H34=10,$J34*$B$22,0)</f>
        <v>0</v>
      </c>
      <c r="N34" s="299">
        <f>IF($H34=12.5,$J34*$B$23,0)</f>
        <v>0</v>
      </c>
      <c r="O34" s="300">
        <f>IF($H34=16,$J34*$B$24,0)</f>
        <v>0</v>
      </c>
      <c r="P34" s="296"/>
    </row>
    <row r="35" spans="4:17" x14ac:dyDescent="0.2">
      <c r="D35" s="302"/>
      <c r="E35" s="303" t="s">
        <v>94</v>
      </c>
      <c r="F35" s="282">
        <v>3</v>
      </c>
      <c r="G35" s="283">
        <v>4</v>
      </c>
      <c r="H35" s="284">
        <v>10</v>
      </c>
      <c r="I35" s="130">
        <v>2.98</v>
      </c>
      <c r="J35" s="130">
        <f t="shared" si="3"/>
        <v>11.92</v>
      </c>
      <c r="K35" s="298">
        <f>IF($H35=5,$J35*$B$19,0)</f>
        <v>0</v>
      </c>
      <c r="L35" s="299">
        <f>IF($H35=6.3,$J35*$B$20,0)</f>
        <v>0</v>
      </c>
      <c r="M35" s="299">
        <f>IF($H35=10,$J35*$B$22,0)</f>
        <v>7.5095999999999998</v>
      </c>
      <c r="N35" s="299">
        <f>IF($H35=12.5,$J35*$B$23,0)</f>
        <v>0</v>
      </c>
      <c r="O35" s="300">
        <f>IF($H35=16,$J35*$B$24,0)</f>
        <v>0</v>
      </c>
      <c r="P35" s="296"/>
    </row>
    <row r="36" spans="4:17" ht="25.5" x14ac:dyDescent="0.2">
      <c r="D36" s="301" t="s">
        <v>71</v>
      </c>
      <c r="E36" s="323" t="s">
        <v>107</v>
      </c>
      <c r="F36" s="279">
        <v>1</v>
      </c>
      <c r="G36" s="280">
        <v>6</v>
      </c>
      <c r="H36" s="281">
        <v>10</v>
      </c>
      <c r="I36" s="129">
        <v>4.38</v>
      </c>
      <c r="J36" s="129">
        <f t="shared" ref="J36:J38" si="4">G36*I36</f>
        <v>26.28</v>
      </c>
      <c r="K36" s="293">
        <f>IF($H36=5,$J36*$B$19,0)</f>
        <v>0</v>
      </c>
      <c r="L36" s="294">
        <f>IF($H36=6.3,$J36*$B$20,0)</f>
        <v>0</v>
      </c>
      <c r="M36" s="294">
        <f>IF($H36=10,$J36*$B$22,0)</f>
        <v>16.5564</v>
      </c>
      <c r="N36" s="294">
        <f>IF($H36=12.5,$J36*$B$23,0)</f>
        <v>0</v>
      </c>
      <c r="O36" s="295">
        <f>IF($H36=16,$J36*$B$24,0)</f>
        <v>0</v>
      </c>
      <c r="P36" s="296"/>
    </row>
    <row r="37" spans="4:17" x14ac:dyDescent="0.2">
      <c r="D37" s="302"/>
      <c r="E37" s="303" t="s">
        <v>10</v>
      </c>
      <c r="F37" s="282">
        <v>2</v>
      </c>
      <c r="G37" s="283">
        <v>37</v>
      </c>
      <c r="H37" s="284">
        <v>5</v>
      </c>
      <c r="I37" s="130">
        <v>0.99</v>
      </c>
      <c r="J37" s="130">
        <f t="shared" si="4"/>
        <v>36.630000000000003</v>
      </c>
      <c r="K37" s="298">
        <f>IF($H37=5,$J37*$B$19,0)</f>
        <v>5.8608000000000002</v>
      </c>
      <c r="L37" s="299">
        <f>IF($H37=6.3,$J37*$B$20,0)</f>
        <v>0</v>
      </c>
      <c r="M37" s="299">
        <f>IF($H37=10,$J37*$B$22,0)</f>
        <v>0</v>
      </c>
      <c r="N37" s="299">
        <f>IF($H37=12.5,$J37*$B$23,0)</f>
        <v>0</v>
      </c>
      <c r="O37" s="300">
        <f>IF($H37=16,$J37*$B$24,0)</f>
        <v>0</v>
      </c>
      <c r="P37" s="296"/>
    </row>
    <row r="38" spans="4:17" x14ac:dyDescent="0.2">
      <c r="D38" s="302"/>
      <c r="E38" s="303" t="s">
        <v>22</v>
      </c>
      <c r="F38" s="282">
        <v>3</v>
      </c>
      <c r="G38" s="283">
        <v>37</v>
      </c>
      <c r="H38" s="284">
        <v>5</v>
      </c>
      <c r="I38" s="130">
        <v>0.22</v>
      </c>
      <c r="J38" s="130">
        <f t="shared" si="4"/>
        <v>8.14</v>
      </c>
      <c r="K38" s="298">
        <f>IF($H38=5,$J38*$B$19,0)</f>
        <v>1.3024000000000002</v>
      </c>
      <c r="L38" s="299">
        <f>IF($H38=6.3,$J38*$B$20,0)</f>
        <v>0</v>
      </c>
      <c r="M38" s="299">
        <f>IF($H38=10,$J38*$B$22,0)</f>
        <v>0</v>
      </c>
      <c r="N38" s="299">
        <f>IF($H38=12.5,$J38*$B$23,0)</f>
        <v>0</v>
      </c>
      <c r="O38" s="300">
        <f>IF($H38=16,$J38*$B$24,0)</f>
        <v>0</v>
      </c>
      <c r="P38" s="296"/>
    </row>
    <row r="39" spans="4:17" x14ac:dyDescent="0.2">
      <c r="D39" s="301" t="s">
        <v>72</v>
      </c>
      <c r="E39" s="323" t="s">
        <v>63</v>
      </c>
      <c r="F39" s="279">
        <v>1</v>
      </c>
      <c r="G39" s="280">
        <v>4</v>
      </c>
      <c r="H39" s="281">
        <v>10</v>
      </c>
      <c r="I39" s="129">
        <v>1.8</v>
      </c>
      <c r="J39" s="129">
        <f t="shared" ref="J39:J47" si="5">G39*I39</f>
        <v>7.2</v>
      </c>
      <c r="K39" s="293">
        <f>IF($H39=5,$J39*$B$19,0)</f>
        <v>0</v>
      </c>
      <c r="L39" s="294">
        <f>IF($H39=6.3,$J39*$B$20,0)</f>
        <v>0</v>
      </c>
      <c r="M39" s="294">
        <f>IF($H39=10,$J39*$B$22,0)</f>
        <v>4.5360000000000005</v>
      </c>
      <c r="N39" s="294">
        <f>IF($H39=12.5,$J39*$B$23,0)</f>
        <v>0</v>
      </c>
      <c r="O39" s="295">
        <f>IF($H39=16,$J39*$B$24,0)</f>
        <v>0</v>
      </c>
      <c r="P39" s="296"/>
      <c r="Q39" s="69"/>
    </row>
    <row r="40" spans="4:17" x14ac:dyDescent="0.2">
      <c r="D40" s="336"/>
      <c r="E40" s="337" t="s">
        <v>63</v>
      </c>
      <c r="F40" s="338">
        <v>2</v>
      </c>
      <c r="G40" s="339">
        <v>2</v>
      </c>
      <c r="H40" s="340">
        <v>10</v>
      </c>
      <c r="I40" s="341">
        <v>1.8</v>
      </c>
      <c r="J40" s="130">
        <f t="shared" ref="J40" si="6">G40*I40</f>
        <v>3.6</v>
      </c>
      <c r="K40" s="298">
        <f>IF($H40=5,$J40*$B$19,0)</f>
        <v>0</v>
      </c>
      <c r="L40" s="299">
        <f>IF($H40=6.3,$J40*$B$20,0)</f>
        <v>0</v>
      </c>
      <c r="M40" s="299">
        <f>IF($H40=10,$J40*$B$22,0)</f>
        <v>2.2680000000000002</v>
      </c>
      <c r="N40" s="299">
        <f>IF($H40=12.5,$J40*$B$23,0)</f>
        <v>0</v>
      </c>
      <c r="O40" s="300">
        <f>IF($H40=16,$J40*$B$24,0)</f>
        <v>0</v>
      </c>
      <c r="P40" s="296"/>
      <c r="Q40" s="69"/>
    </row>
    <row r="41" spans="4:17" x14ac:dyDescent="0.2">
      <c r="D41" s="302"/>
      <c r="E41" s="303" t="s">
        <v>63</v>
      </c>
      <c r="F41" s="282">
        <v>3</v>
      </c>
      <c r="G41" s="283">
        <v>12</v>
      </c>
      <c r="H41" s="284">
        <v>5</v>
      </c>
      <c r="I41" s="130">
        <v>1.19</v>
      </c>
      <c r="J41" s="130">
        <f t="shared" si="5"/>
        <v>14.28</v>
      </c>
      <c r="K41" s="298">
        <f>IF($H41=5,$J41*$B$19,0)</f>
        <v>2.2848000000000002</v>
      </c>
      <c r="L41" s="299">
        <f>IF($H41=6.3,$J41*$B$20,0)</f>
        <v>0</v>
      </c>
      <c r="M41" s="299">
        <f>IF($H41=10,$J41*$B$22,0)</f>
        <v>0</v>
      </c>
      <c r="N41" s="299">
        <f>IF($H41=12.5,$J41*$B$23,0)</f>
        <v>0</v>
      </c>
      <c r="O41" s="300">
        <f>IF($H41=16,$J41*$B$24,0)</f>
        <v>0</v>
      </c>
      <c r="P41" s="296"/>
      <c r="Q41" s="69"/>
    </row>
    <row r="42" spans="4:17" ht="25.5" x14ac:dyDescent="0.2">
      <c r="D42" s="302"/>
      <c r="E42" s="303" t="s">
        <v>107</v>
      </c>
      <c r="F42" s="282">
        <v>4</v>
      </c>
      <c r="G42" s="283">
        <v>37</v>
      </c>
      <c r="H42" s="284">
        <v>5</v>
      </c>
      <c r="I42" s="130">
        <v>0.22</v>
      </c>
      <c r="J42" s="130">
        <f t="shared" si="5"/>
        <v>8.14</v>
      </c>
      <c r="K42" s="298">
        <f>IF($H42=5,$J42*$B$19,0)</f>
        <v>1.3024000000000002</v>
      </c>
      <c r="L42" s="299">
        <f>IF($H42=6.3,$J42*$B$20,0)</f>
        <v>0</v>
      </c>
      <c r="M42" s="299">
        <f>IF($H42=10,$J42*$B$22,0)</f>
        <v>0</v>
      </c>
      <c r="N42" s="299">
        <f>IF($H42=12.5,$J42*$B$23,0)</f>
        <v>0</v>
      </c>
      <c r="O42" s="300">
        <f>IF($H42=16,$J42*$B$24,0)</f>
        <v>0</v>
      </c>
      <c r="P42" s="296"/>
      <c r="Q42" s="69"/>
    </row>
    <row r="43" spans="4:17" x14ac:dyDescent="0.2">
      <c r="D43" s="304"/>
      <c r="E43" s="345" t="s">
        <v>94</v>
      </c>
      <c r="F43" s="285">
        <v>5</v>
      </c>
      <c r="G43" s="286">
        <v>6</v>
      </c>
      <c r="H43" s="287">
        <v>10</v>
      </c>
      <c r="I43" s="288">
        <v>2.98</v>
      </c>
      <c r="J43" s="130">
        <f t="shared" ref="J43" si="7">G43*I43</f>
        <v>17.88</v>
      </c>
      <c r="K43" s="298">
        <f>IF($H43=5,$J43*$B$19,0)</f>
        <v>0</v>
      </c>
      <c r="L43" s="299">
        <f>IF($H43=6.3,$J43*$B$20,0)</f>
        <v>0</v>
      </c>
      <c r="M43" s="299">
        <f>IF($H43=10,$J43*$B$22,0)</f>
        <v>11.2644</v>
      </c>
      <c r="N43" s="299">
        <f>IF($H43=12.5,$J43*$B$23,0)</f>
        <v>0</v>
      </c>
      <c r="O43" s="300">
        <f>IF($H43=16,$J43*$B$24,0)</f>
        <v>0</v>
      </c>
      <c r="P43" s="296"/>
      <c r="Q43" s="69"/>
    </row>
    <row r="44" spans="4:17" x14ac:dyDescent="0.2">
      <c r="D44" s="305"/>
      <c r="E44" s="324" t="s">
        <v>94</v>
      </c>
      <c r="F44" s="131">
        <v>6</v>
      </c>
      <c r="G44" s="132">
        <v>25</v>
      </c>
      <c r="H44" s="133">
        <v>5</v>
      </c>
      <c r="I44" s="134">
        <v>0.99</v>
      </c>
      <c r="J44" s="134">
        <f t="shared" si="5"/>
        <v>24.75</v>
      </c>
      <c r="K44" s="306">
        <f>IF($H44=5,$J44*$B$19,0)</f>
        <v>3.96</v>
      </c>
      <c r="L44" s="307">
        <f>IF($H44=6.3,$J44*$B$20,0)</f>
        <v>0</v>
      </c>
      <c r="M44" s="307">
        <f>IF($H44=10,$J44*$B$22,0)</f>
        <v>0</v>
      </c>
      <c r="N44" s="307">
        <f>IF($H44=12.5,$J44*$B$23,0)</f>
        <v>0</v>
      </c>
      <c r="O44" s="308">
        <f>IF($H44=16,$J44*$B$24,0)</f>
        <v>0</v>
      </c>
      <c r="P44" s="296"/>
      <c r="Q44" s="69"/>
    </row>
    <row r="45" spans="4:17" x14ac:dyDescent="0.2">
      <c r="D45" s="301" t="s">
        <v>73</v>
      </c>
      <c r="E45" s="323" t="s">
        <v>63</v>
      </c>
      <c r="F45" s="279">
        <v>1</v>
      </c>
      <c r="G45" s="280">
        <v>4</v>
      </c>
      <c r="H45" s="281">
        <v>10</v>
      </c>
      <c r="I45" s="129">
        <v>1.85</v>
      </c>
      <c r="J45" s="129">
        <f t="shared" si="5"/>
        <v>7.4</v>
      </c>
      <c r="K45" s="293">
        <f>IF($H45=5,$J45*$B$19,0)</f>
        <v>0</v>
      </c>
      <c r="L45" s="294">
        <f>IF($H45=6.3,$J45*$B$20,0)</f>
        <v>0</v>
      </c>
      <c r="M45" s="294">
        <f>IF($H45=10,$J45*$B$22,0)</f>
        <v>4.6619999999999999</v>
      </c>
      <c r="N45" s="294">
        <f>IF($H45=12.5,$J45*$B$23,0)</f>
        <v>0</v>
      </c>
      <c r="O45" s="295">
        <f>IF($H45=16,$J45*$B$24,0)</f>
        <v>0</v>
      </c>
      <c r="P45" s="296"/>
    </row>
    <row r="46" spans="4:17" ht="25.5" x14ac:dyDescent="0.2">
      <c r="D46" s="302"/>
      <c r="E46" s="303" t="s">
        <v>107</v>
      </c>
      <c r="F46" s="282">
        <v>2</v>
      </c>
      <c r="G46" s="283">
        <v>37</v>
      </c>
      <c r="H46" s="284">
        <v>5</v>
      </c>
      <c r="I46" s="130">
        <v>0.73</v>
      </c>
      <c r="J46" s="130">
        <f t="shared" si="5"/>
        <v>27.009999999999998</v>
      </c>
      <c r="K46" s="298">
        <f>IF($H46=5,$J46*$B$19,0)</f>
        <v>4.3216000000000001</v>
      </c>
      <c r="L46" s="299">
        <f>IF($H46=6.3,$J46*$B$20,0)</f>
        <v>0</v>
      </c>
      <c r="M46" s="299">
        <f>IF($H46=10,$J46*$B$22,0)</f>
        <v>0</v>
      </c>
      <c r="N46" s="299">
        <f>IF($H46=12.5,$J46*$B$23,0)</f>
        <v>0</v>
      </c>
      <c r="O46" s="300">
        <f>IF($H46=16,$J46*$B$24,0)</f>
        <v>0</v>
      </c>
      <c r="P46" s="296"/>
    </row>
    <row r="47" spans="4:17" x14ac:dyDescent="0.2">
      <c r="D47" s="302"/>
      <c r="E47" s="303" t="s">
        <v>94</v>
      </c>
      <c r="F47" s="282">
        <v>3</v>
      </c>
      <c r="G47" s="283">
        <v>4</v>
      </c>
      <c r="H47" s="284">
        <v>10</v>
      </c>
      <c r="I47" s="130">
        <v>2.98</v>
      </c>
      <c r="J47" s="130">
        <f t="shared" si="5"/>
        <v>11.92</v>
      </c>
      <c r="K47" s="298">
        <f>IF($H47=5,$J47*$B$19,0)</f>
        <v>0</v>
      </c>
      <c r="L47" s="299">
        <f>IF($H47=6.3,$J47*$B$20,0)</f>
        <v>0</v>
      </c>
      <c r="M47" s="299">
        <f>IF($H47=10,$J47*$B$22,0)</f>
        <v>7.5095999999999998</v>
      </c>
      <c r="N47" s="299">
        <f>IF($H47=12.5,$J47*$B$23,0)</f>
        <v>0</v>
      </c>
      <c r="O47" s="300">
        <f>IF($H47=16,$J47*$B$24,0)</f>
        <v>0</v>
      </c>
      <c r="P47" s="296"/>
    </row>
    <row r="48" spans="4:17" x14ac:dyDescent="0.2">
      <c r="D48" s="301" t="s">
        <v>74</v>
      </c>
      <c r="E48" s="323" t="s">
        <v>63</v>
      </c>
      <c r="F48" s="279">
        <v>1</v>
      </c>
      <c r="G48" s="280">
        <v>12</v>
      </c>
      <c r="H48" s="281">
        <v>5</v>
      </c>
      <c r="I48" s="129">
        <v>0.99</v>
      </c>
      <c r="J48" s="129">
        <f t="shared" ref="J48:J49" si="8">G48*I48</f>
        <v>11.879999999999999</v>
      </c>
      <c r="K48" s="293">
        <f>IF($H48=5,$J48*$B$19,0)</f>
        <v>1.9007999999999998</v>
      </c>
      <c r="L48" s="294">
        <f>IF($H48=6.3,$J48*$B$20,0)</f>
        <v>0</v>
      </c>
      <c r="M48" s="294">
        <f>IF($H48=10,$J48*$B$22,0)</f>
        <v>0</v>
      </c>
      <c r="N48" s="294">
        <f>IF($H48=12.5,$J48*$B$23,0)</f>
        <v>0</v>
      </c>
      <c r="O48" s="295">
        <f>IF($H48=16,$J48*$B$24,0)</f>
        <v>0</v>
      </c>
      <c r="P48" s="296"/>
      <c r="Q48" s="69"/>
    </row>
    <row r="49" spans="4:17" x14ac:dyDescent="0.2">
      <c r="D49" s="302"/>
      <c r="E49" s="303" t="s">
        <v>63</v>
      </c>
      <c r="F49" s="282">
        <v>2</v>
      </c>
      <c r="G49" s="283">
        <v>12</v>
      </c>
      <c r="H49" s="284">
        <v>5</v>
      </c>
      <c r="I49" s="130">
        <v>0.22</v>
      </c>
      <c r="J49" s="130">
        <f t="shared" si="8"/>
        <v>2.64</v>
      </c>
      <c r="K49" s="298">
        <f>IF($H49=5,$J49*$B$19,0)</f>
        <v>0.42240000000000005</v>
      </c>
      <c r="L49" s="299">
        <f>IF($H49=6.3,$J49*$B$20,0)</f>
        <v>0</v>
      </c>
      <c r="M49" s="299">
        <f>IF($H49=10,$J49*$B$22,0)</f>
        <v>0</v>
      </c>
      <c r="N49" s="299">
        <f>IF($H49=12.5,$J49*$B$23,0)</f>
        <v>0</v>
      </c>
      <c r="O49" s="300">
        <f>IF($H49=16,$J49*$B$24,0)</f>
        <v>0</v>
      </c>
      <c r="P49" s="296"/>
      <c r="Q49" s="69"/>
    </row>
    <row r="50" spans="4:17" x14ac:dyDescent="0.2">
      <c r="D50" s="346" t="s">
        <v>75</v>
      </c>
      <c r="E50" s="323" t="s">
        <v>63</v>
      </c>
      <c r="F50" s="279">
        <v>1</v>
      </c>
      <c r="G50" s="280">
        <v>6</v>
      </c>
      <c r="H50" s="281">
        <v>10</v>
      </c>
      <c r="I50" s="129">
        <v>1.8</v>
      </c>
      <c r="J50" s="129">
        <f t="shared" ref="J50:J53" si="9">G50*I50</f>
        <v>10.8</v>
      </c>
      <c r="K50" s="293">
        <f>IF($H50=5,$J50*$B$19,0)</f>
        <v>0</v>
      </c>
      <c r="L50" s="294">
        <f>IF($H50=6.3,$J50*$B$20,0)</f>
        <v>0</v>
      </c>
      <c r="M50" s="294">
        <f>IF($H50=10,$J50*$B$22,0)</f>
        <v>6.8040000000000003</v>
      </c>
      <c r="N50" s="294">
        <f>IF($H50=12.5,$J50*$B$23,0)</f>
        <v>0</v>
      </c>
      <c r="O50" s="295">
        <f>IF($H50=16,$J50*$B$24,0)</f>
        <v>0</v>
      </c>
      <c r="P50" s="296"/>
      <c r="Q50" s="309"/>
    </row>
    <row r="51" spans="4:17" ht="25.5" x14ac:dyDescent="0.2">
      <c r="D51" s="347"/>
      <c r="E51" s="303" t="s">
        <v>107</v>
      </c>
      <c r="F51" s="282">
        <v>2</v>
      </c>
      <c r="G51" s="283">
        <v>37</v>
      </c>
      <c r="H51" s="284">
        <v>5</v>
      </c>
      <c r="I51" s="130">
        <v>0.99</v>
      </c>
      <c r="J51" s="130">
        <f t="shared" si="9"/>
        <v>36.630000000000003</v>
      </c>
      <c r="K51" s="298">
        <f>IF($H51=5,$J51*$B$19,0)</f>
        <v>5.8608000000000002</v>
      </c>
      <c r="L51" s="299">
        <f>IF($H51=6.3,$J51*$B$20,0)</f>
        <v>0</v>
      </c>
      <c r="M51" s="299">
        <f>IF($H51=10,$J51*$B$22,0)</f>
        <v>0</v>
      </c>
      <c r="N51" s="299">
        <f>IF($H51=12.5,$J51*$B$23,0)</f>
        <v>0</v>
      </c>
      <c r="O51" s="300">
        <f>IF($H51=16,$J51*$B$24,0)</f>
        <v>0</v>
      </c>
      <c r="P51" s="296"/>
      <c r="Q51" s="309"/>
    </row>
    <row r="52" spans="4:17" ht="25.5" x14ac:dyDescent="0.2">
      <c r="D52" s="347"/>
      <c r="E52" s="303" t="s">
        <v>107</v>
      </c>
      <c r="F52" s="282">
        <v>3</v>
      </c>
      <c r="G52" s="283">
        <v>37</v>
      </c>
      <c r="H52" s="284">
        <v>5</v>
      </c>
      <c r="I52" s="130">
        <v>0.22</v>
      </c>
      <c r="J52" s="130">
        <f t="shared" si="9"/>
        <v>8.14</v>
      </c>
      <c r="K52" s="298">
        <f>IF($H52=5,$J52*$B$19,0)</f>
        <v>1.3024000000000002</v>
      </c>
      <c r="L52" s="299">
        <f>IF($H52=6.3,$J52*$B$20,0)</f>
        <v>0</v>
      </c>
      <c r="M52" s="299">
        <f>IF($H52=10,$J52*$B$22,0)</f>
        <v>0</v>
      </c>
      <c r="N52" s="299">
        <f>IF($H52=12.5,$J52*$B$23,0)</f>
        <v>0</v>
      </c>
      <c r="O52" s="300">
        <f>IF($H52=16,$J52*$B$24,0)</f>
        <v>0</v>
      </c>
      <c r="P52" s="296"/>
      <c r="Q52" s="309"/>
    </row>
    <row r="53" spans="4:17" ht="13.5" thickBot="1" x14ac:dyDescent="0.25">
      <c r="D53" s="348"/>
      <c r="E53" s="326" t="s">
        <v>94</v>
      </c>
      <c r="F53" s="331">
        <v>4</v>
      </c>
      <c r="G53" s="332">
        <v>4</v>
      </c>
      <c r="H53" s="333">
        <v>10</v>
      </c>
      <c r="I53" s="334">
        <v>2.98</v>
      </c>
      <c r="J53" s="334">
        <f t="shared" si="9"/>
        <v>11.92</v>
      </c>
      <c r="K53" s="310">
        <f>IF($H53=5,$J53*$B$19,0)</f>
        <v>0</v>
      </c>
      <c r="L53" s="311">
        <f>IF($H53=6.3,$J53*$B$20,0)</f>
        <v>0</v>
      </c>
      <c r="M53" s="311">
        <f>IF($H53=10,$J53*$B$22,0)</f>
        <v>7.5095999999999998</v>
      </c>
      <c r="N53" s="311">
        <f>IF($H53=12.5,$J53*$B$23,0)</f>
        <v>0</v>
      </c>
      <c r="O53" s="312">
        <f>IF($H53=16,$J53*$B$24,0)</f>
        <v>0</v>
      </c>
      <c r="P53" s="313"/>
      <c r="Q53" s="309"/>
    </row>
    <row r="54" spans="4:17" ht="10.5" customHeight="1" thickTop="1" thickBot="1" x14ac:dyDescent="0.25">
      <c r="D54" s="309"/>
      <c r="E54" s="309"/>
      <c r="F54" s="335"/>
      <c r="G54" s="335"/>
      <c r="H54" s="335"/>
      <c r="I54" s="335"/>
      <c r="J54" s="335"/>
      <c r="K54" s="314"/>
      <c r="L54" s="314"/>
      <c r="M54" s="314"/>
      <c r="N54" s="314"/>
      <c r="O54" s="314"/>
    </row>
    <row r="55" spans="4:17" ht="14.25" thickTop="1" thickBot="1" x14ac:dyDescent="0.25">
      <c r="D55" s="315"/>
      <c r="E55" s="316"/>
      <c r="F55" s="317"/>
      <c r="G55" s="317"/>
      <c r="H55" s="317"/>
      <c r="I55" s="317"/>
      <c r="J55" s="317"/>
      <c r="K55" s="318">
        <f>SUM(K23:K54)</f>
        <v>52.956799999999994</v>
      </c>
      <c r="L55" s="319">
        <f>SUM(L23:L54)</f>
        <v>0</v>
      </c>
      <c r="M55" s="319">
        <f>SUM(M23:M54)</f>
        <v>117.43200000000002</v>
      </c>
      <c r="N55" s="319">
        <f>SUM(N23:N54)</f>
        <v>3.8</v>
      </c>
      <c r="O55" s="319">
        <f>SUM(O23:O54)</f>
        <v>0</v>
      </c>
    </row>
    <row r="56" spans="4:17" ht="13.5" thickTop="1" x14ac:dyDescent="0.2">
      <c r="D56" s="309"/>
      <c r="E56" s="309"/>
      <c r="K56" s="309"/>
      <c r="L56" s="309"/>
      <c r="M56" s="309"/>
      <c r="N56" s="309"/>
      <c r="O56" s="309"/>
    </row>
    <row r="57" spans="4:17" x14ac:dyDescent="0.2">
      <c r="D57" s="309"/>
      <c r="E57" s="309"/>
      <c r="K57" s="309"/>
      <c r="L57" s="309"/>
      <c r="M57" s="309"/>
      <c r="N57" s="309"/>
      <c r="O57" s="309"/>
    </row>
  </sheetData>
  <mergeCells count="29">
    <mergeCell ref="D1:P1"/>
    <mergeCell ref="D2:P2"/>
    <mergeCell ref="D3:P3"/>
    <mergeCell ref="D4:P4"/>
    <mergeCell ref="D21:J21"/>
    <mergeCell ref="D17:J17"/>
    <mergeCell ref="D19:P19"/>
    <mergeCell ref="D20:P20"/>
    <mergeCell ref="P21:P22"/>
    <mergeCell ref="K21:O21"/>
    <mergeCell ref="P15:P16"/>
    <mergeCell ref="D14:J16"/>
    <mergeCell ref="D5:P5"/>
    <mergeCell ref="D6:P6"/>
    <mergeCell ref="D11:P11"/>
    <mergeCell ref="D23:D25"/>
    <mergeCell ref="D26:D27"/>
    <mergeCell ref="D28:D32"/>
    <mergeCell ref="D33:D35"/>
    <mergeCell ref="D36:D38"/>
    <mergeCell ref="D39:D44"/>
    <mergeCell ref="D45:D47"/>
    <mergeCell ref="D48:D49"/>
    <mergeCell ref="D50:D53"/>
    <mergeCell ref="D12:P12"/>
    <mergeCell ref="D13:P13"/>
    <mergeCell ref="K14:P14"/>
    <mergeCell ref="D9:L9"/>
    <mergeCell ref="L15:O1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7" fitToHeight="5" orientation="portrait" verticalDpi="0" r:id="rId1"/>
  <headerFooter>
    <oddFooter>&amp;C&amp;8Rua Ferreira Pena, 1.109 – Centro – Manaus/AM – Cel: (0**92) 98415-0793, Fone: (0**92) 3306-0045 – e-mail: enge.ifam@ifam.edu.br 
DIRETORIA DE OBRAS E SERVIÇOS DE ENGENHARIA - DOSE/IFAM&amp;R&amp;9Página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142"/>
  <sheetViews>
    <sheetView tabSelected="1" workbookViewId="0"/>
  </sheetViews>
  <sheetFormatPr defaultRowHeight="15" x14ac:dyDescent="0.25"/>
  <cols>
    <col min="1" max="2" width="4.5703125" bestFit="1" customWidth="1"/>
    <col min="3" max="3" width="4.42578125" customWidth="1"/>
    <col min="7" max="7" width="10.85546875" bestFit="1" customWidth="1"/>
    <col min="8" max="8" width="14.7109375" customWidth="1"/>
  </cols>
  <sheetData>
    <row r="1" spans="1:17" ht="12.95" customHeight="1" x14ac:dyDescent="0.25">
      <c r="B1" s="117"/>
      <c r="C1" s="117"/>
      <c r="D1" s="184" t="s">
        <v>56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ht="12.95" customHeight="1" x14ac:dyDescent="0.25">
      <c r="B2" s="117"/>
      <c r="C2" s="117"/>
      <c r="D2" s="184" t="s">
        <v>57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12.95" customHeight="1" x14ac:dyDescent="0.25">
      <c r="B3" s="117"/>
      <c r="C3" s="117"/>
      <c r="D3" s="184" t="s">
        <v>60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ht="12.95" customHeight="1" x14ac:dyDescent="0.25">
      <c r="B4" s="117"/>
      <c r="C4" s="117"/>
      <c r="D4" s="184" t="s">
        <v>58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</row>
    <row r="5" spans="1:17" ht="12.95" customHeight="1" x14ac:dyDescent="0.25">
      <c r="B5" s="117"/>
      <c r="C5" s="117"/>
      <c r="D5" s="184" t="s">
        <v>59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</row>
    <row r="6" spans="1:17" ht="12.95" customHeight="1" x14ac:dyDescent="0.25">
      <c r="B6" s="117"/>
      <c r="C6" s="117"/>
      <c r="D6" s="184" t="s">
        <v>82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</row>
    <row r="7" spans="1:17" s="120" customFormat="1" ht="5.0999999999999996" customHeight="1" x14ac:dyDescent="0.25">
      <c r="B7" s="117"/>
      <c r="C7" s="117"/>
      <c r="D7" s="371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8" spans="1:17" s="120" customFormat="1" ht="12.95" customHeight="1" x14ac:dyDescent="0.25">
      <c r="B8" s="117"/>
      <c r="C8" s="117"/>
      <c r="D8" s="372" t="str">
        <f>'Lev SAPATAS'!A8</f>
        <v>Obra: REFORMA E AMPLIAÇÃO DA UNIDADE EDUCACIONAL DE PRODUÇÃO - UEP - CAMPUS LÁBREA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12.95" customHeight="1" x14ac:dyDescent="0.25">
      <c r="A9" s="118"/>
      <c r="B9" s="118"/>
      <c r="C9" s="118"/>
      <c r="D9" s="181" t="str">
        <f>'Lev SAPATAS'!A9</f>
        <v xml:space="preserve">Endereço: Av. 22 de Outubro, S/Nº. Bairro: Vila Falcão Município: Lábrea/AM – CEP: 69.830-000 </v>
      </c>
      <c r="E9" s="181"/>
      <c r="F9" s="181"/>
      <c r="G9" s="181"/>
      <c r="H9" s="181"/>
      <c r="I9" s="181"/>
      <c r="J9" s="181"/>
      <c r="K9" s="181"/>
      <c r="L9" s="181"/>
    </row>
    <row r="10" spans="1:17" s="120" customFormat="1" ht="5.0999999999999996" customHeight="1" thickBot="1" x14ac:dyDescent="0.3">
      <c r="A10" s="154"/>
      <c r="B10" s="154"/>
      <c r="C10" s="154"/>
      <c r="D10" s="367"/>
      <c r="E10" s="367"/>
      <c r="F10" s="367"/>
      <c r="G10" s="367"/>
      <c r="H10" s="367"/>
      <c r="I10" s="367"/>
      <c r="J10" s="367"/>
      <c r="K10" s="367"/>
      <c r="L10" s="367"/>
    </row>
    <row r="11" spans="1:17" s="56" customFormat="1" ht="16.5" customHeight="1" thickTop="1" x14ac:dyDescent="0.2">
      <c r="D11" s="229" t="s">
        <v>53</v>
      </c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1"/>
    </row>
    <row r="12" spans="1:17" s="56" customFormat="1" ht="15.75" customHeight="1" x14ac:dyDescent="0.2">
      <c r="D12" s="191" t="str">
        <f>D8</f>
        <v>Obra: REFORMA E AMPLIAÇÃO DA UNIDADE EDUCACIONAL DE PRODUÇÃO - UEP - CAMPUS LÁBREA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3"/>
    </row>
    <row r="13" spans="1:17" s="56" customFormat="1" ht="15.75" customHeight="1" thickBot="1" x14ac:dyDescent="0.25">
      <c r="D13" s="261" t="s">
        <v>40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3"/>
    </row>
    <row r="14" spans="1:17" s="56" customFormat="1" ht="15" customHeight="1" x14ac:dyDescent="0.2">
      <c r="D14" s="222" t="s">
        <v>27</v>
      </c>
      <c r="E14" s="223"/>
      <c r="F14" s="223"/>
      <c r="G14" s="223"/>
      <c r="H14" s="224"/>
      <c r="I14" s="274" t="s">
        <v>28</v>
      </c>
      <c r="J14" s="275"/>
      <c r="K14" s="275"/>
      <c r="L14" s="275"/>
      <c r="M14" s="275"/>
      <c r="N14" s="275"/>
      <c r="O14" s="275"/>
      <c r="P14" s="275"/>
      <c r="Q14" s="276"/>
    </row>
    <row r="15" spans="1:17" s="56" customFormat="1" ht="15" customHeight="1" x14ac:dyDescent="0.2">
      <c r="D15" s="232"/>
      <c r="E15" s="233"/>
      <c r="F15" s="233"/>
      <c r="G15" s="233"/>
      <c r="H15" s="234"/>
      <c r="I15" s="235" t="s">
        <v>64</v>
      </c>
      <c r="J15" s="201"/>
      <c r="K15" s="200" t="s">
        <v>61</v>
      </c>
      <c r="L15" s="201"/>
      <c r="M15" s="201"/>
      <c r="N15" s="201"/>
      <c r="O15" s="201"/>
      <c r="P15" s="201"/>
      <c r="Q15" s="236"/>
    </row>
    <row r="16" spans="1:17" s="56" customFormat="1" ht="13.5" thickBot="1" x14ac:dyDescent="0.25">
      <c r="D16" s="57" t="s">
        <v>29</v>
      </c>
      <c r="E16" s="58" t="s">
        <v>30</v>
      </c>
      <c r="F16" s="58" t="s">
        <v>31</v>
      </c>
      <c r="G16" s="59" t="s">
        <v>51</v>
      </c>
      <c r="H16" s="60" t="s">
        <v>54</v>
      </c>
      <c r="I16" s="82">
        <v>4.2</v>
      </c>
      <c r="J16" s="61">
        <v>5</v>
      </c>
      <c r="K16" s="61">
        <v>6.3</v>
      </c>
      <c r="L16" s="61">
        <v>8</v>
      </c>
      <c r="M16" s="61">
        <v>10</v>
      </c>
      <c r="N16" s="61">
        <v>12.5</v>
      </c>
      <c r="O16" s="61">
        <v>16</v>
      </c>
      <c r="P16" s="61">
        <v>20</v>
      </c>
      <c r="Q16" s="62">
        <v>25</v>
      </c>
    </row>
    <row r="17" spans="1:18" s="56" customFormat="1" ht="15.75" customHeight="1" thickBot="1" x14ac:dyDescent="0.25">
      <c r="D17" s="264"/>
      <c r="E17" s="265"/>
      <c r="F17" s="265"/>
      <c r="G17" s="265"/>
      <c r="H17" s="265"/>
      <c r="I17" s="83"/>
      <c r="J17" s="83"/>
      <c r="K17" s="83"/>
      <c r="L17" s="83"/>
      <c r="M17" s="83"/>
      <c r="N17" s="83"/>
      <c r="O17" s="83"/>
      <c r="P17" s="83"/>
      <c r="Q17" s="81"/>
    </row>
    <row r="18" spans="1:18" s="56" customFormat="1" ht="12.75" customHeight="1" x14ac:dyDescent="0.2">
      <c r="D18" s="266" t="s">
        <v>110</v>
      </c>
      <c r="E18" s="267"/>
      <c r="F18" s="267"/>
      <c r="G18" s="267"/>
      <c r="H18" s="267"/>
      <c r="I18" s="72">
        <f>I86</f>
        <v>0</v>
      </c>
      <c r="J18" s="72">
        <f>J86</f>
        <v>42.400000000000006</v>
      </c>
      <c r="K18" s="72">
        <f>K86</f>
        <v>3.9375</v>
      </c>
      <c r="L18" s="72">
        <f t="shared" ref="L18:Q18" si="0">L86</f>
        <v>39.64</v>
      </c>
      <c r="M18" s="72">
        <f t="shared" si="0"/>
        <v>42.386399999999995</v>
      </c>
      <c r="N18" s="72">
        <f t="shared" si="0"/>
        <v>8.6999999999999993</v>
      </c>
      <c r="O18" s="72">
        <f t="shared" si="0"/>
        <v>0</v>
      </c>
      <c r="P18" s="72">
        <f t="shared" si="0"/>
        <v>0</v>
      </c>
      <c r="Q18" s="84">
        <f t="shared" si="0"/>
        <v>0</v>
      </c>
    </row>
    <row r="19" spans="1:18" s="56" customFormat="1" ht="12.75" customHeight="1" x14ac:dyDescent="0.2">
      <c r="D19" s="268" t="s">
        <v>111</v>
      </c>
      <c r="E19" s="269"/>
      <c r="F19" s="269"/>
      <c r="G19" s="269"/>
      <c r="H19" s="269"/>
      <c r="I19" s="85">
        <f>I141</f>
        <v>0</v>
      </c>
      <c r="J19" s="85">
        <f>J141</f>
        <v>42.803200000000004</v>
      </c>
      <c r="K19" s="85">
        <f>K141</f>
        <v>2.4474999999999998</v>
      </c>
      <c r="L19" s="85">
        <f>L141</f>
        <v>63.34</v>
      </c>
      <c r="M19" s="85">
        <f>M141</f>
        <v>0</v>
      </c>
      <c r="N19" s="85">
        <f>N141</f>
        <v>0</v>
      </c>
      <c r="O19" s="85">
        <f>O141</f>
        <v>0</v>
      </c>
      <c r="P19" s="85">
        <f>P141</f>
        <v>0</v>
      </c>
      <c r="Q19" s="391">
        <f>Q141</f>
        <v>0</v>
      </c>
    </row>
    <row r="20" spans="1:18" s="56" customFormat="1" ht="15" customHeight="1" x14ac:dyDescent="0.2">
      <c r="D20" s="270"/>
      <c r="E20" s="271"/>
      <c r="F20" s="271"/>
      <c r="G20" s="271"/>
      <c r="H20" s="271"/>
      <c r="I20" s="90"/>
      <c r="J20" s="90"/>
      <c r="K20" s="90"/>
      <c r="L20" s="90"/>
      <c r="M20" s="90"/>
      <c r="N20" s="90"/>
      <c r="O20" s="90"/>
      <c r="P20" s="90"/>
      <c r="Q20" s="91"/>
    </row>
    <row r="21" spans="1:18" s="56" customFormat="1" ht="15.75" customHeight="1" thickBot="1" x14ac:dyDescent="0.25">
      <c r="D21" s="272" t="s">
        <v>78</v>
      </c>
      <c r="E21" s="273"/>
      <c r="F21" s="273"/>
      <c r="G21" s="273"/>
      <c r="H21" s="273"/>
      <c r="I21" s="86">
        <f>SUM(I18:I20)</f>
        <v>0</v>
      </c>
      <c r="J21" s="86">
        <f>SUM(J18:J20)</f>
        <v>85.20320000000001</v>
      </c>
      <c r="K21" s="86">
        <f t="shared" ref="K21:Q21" si="1">SUM(K18:K20)</f>
        <v>6.3849999999999998</v>
      </c>
      <c r="L21" s="86">
        <f t="shared" si="1"/>
        <v>102.98</v>
      </c>
      <c r="M21" s="86">
        <f t="shared" si="1"/>
        <v>42.386399999999995</v>
      </c>
      <c r="N21" s="86">
        <f t="shared" si="1"/>
        <v>8.6999999999999993</v>
      </c>
      <c r="O21" s="86">
        <f t="shared" si="1"/>
        <v>0</v>
      </c>
      <c r="P21" s="86">
        <f t="shared" si="1"/>
        <v>0</v>
      </c>
      <c r="Q21" s="392">
        <f t="shared" si="1"/>
        <v>0</v>
      </c>
      <c r="R21" s="358">
        <f>SUM(I21:Q21)</f>
        <v>245.65460000000002</v>
      </c>
    </row>
    <row r="22" spans="1:18" s="56" customFormat="1" ht="15.75" customHeight="1" thickTop="1" thickBot="1" x14ac:dyDescent="0.25">
      <c r="D22" s="87"/>
      <c r="E22" s="87"/>
      <c r="F22" s="87"/>
      <c r="G22" s="87"/>
      <c r="H22" s="87"/>
      <c r="I22" s="88"/>
      <c r="J22" s="88"/>
      <c r="K22" s="88"/>
      <c r="L22" s="88"/>
      <c r="M22" s="88"/>
      <c r="N22" s="88"/>
      <c r="O22" s="88"/>
      <c r="P22" s="88"/>
      <c r="Q22" s="89"/>
    </row>
    <row r="23" spans="1:18" s="56" customFormat="1" ht="14.25" thickTop="1" thickBot="1" x14ac:dyDescent="0.25">
      <c r="D23" s="237" t="s">
        <v>41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9"/>
    </row>
    <row r="24" spans="1:18" s="56" customFormat="1" ht="13.5" thickBot="1" x14ac:dyDescent="0.25">
      <c r="D24" s="240" t="str">
        <f>D8</f>
        <v>Obra: REFORMA E AMPLIAÇÃO DA UNIDADE EDUCACIONAL DE PRODUÇÃO - UEP - CAMPUS LÁBREA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2"/>
    </row>
    <row r="25" spans="1:18" s="56" customFormat="1" ht="13.5" thickBot="1" x14ac:dyDescent="0.25">
      <c r="D25" s="243" t="s">
        <v>109</v>
      </c>
      <c r="E25" s="244"/>
      <c r="F25" s="244"/>
      <c r="G25" s="244"/>
      <c r="H25" s="244"/>
      <c r="I25" s="244"/>
      <c r="J25" s="244"/>
      <c r="K25" s="245"/>
      <c r="L25" s="246"/>
      <c r="M25" s="246"/>
      <c r="N25" s="246"/>
      <c r="O25" s="246"/>
      <c r="P25" s="246"/>
      <c r="Q25" s="247"/>
    </row>
    <row r="26" spans="1:18" s="56" customFormat="1" ht="15" customHeight="1" x14ac:dyDescent="0.2">
      <c r="D26" s="277" t="s">
        <v>27</v>
      </c>
      <c r="E26" s="278"/>
      <c r="F26" s="278"/>
      <c r="G26" s="278"/>
      <c r="H26" s="278"/>
      <c r="I26" s="248" t="s">
        <v>28</v>
      </c>
      <c r="J26" s="249"/>
      <c r="K26" s="249"/>
      <c r="L26" s="249"/>
      <c r="M26" s="249"/>
      <c r="N26" s="249"/>
      <c r="O26" s="249"/>
      <c r="P26" s="249"/>
      <c r="Q26" s="250"/>
    </row>
    <row r="27" spans="1:18" s="56" customFormat="1" ht="13.5" thickBot="1" x14ac:dyDescent="0.25">
      <c r="D27" s="57" t="s">
        <v>29</v>
      </c>
      <c r="E27" s="58" t="s">
        <v>30</v>
      </c>
      <c r="F27" s="58" t="s">
        <v>31</v>
      </c>
      <c r="G27" s="103" t="s">
        <v>51</v>
      </c>
      <c r="H27" s="104" t="s">
        <v>52</v>
      </c>
      <c r="I27" s="92">
        <v>4.2</v>
      </c>
      <c r="J27" s="61">
        <v>5</v>
      </c>
      <c r="K27" s="61">
        <v>6.3</v>
      </c>
      <c r="L27" s="61">
        <v>8</v>
      </c>
      <c r="M27" s="61">
        <v>10</v>
      </c>
      <c r="N27" s="61">
        <v>12.5</v>
      </c>
      <c r="O27" s="61">
        <v>16</v>
      </c>
      <c r="P27" s="61">
        <v>20</v>
      </c>
      <c r="Q27" s="62">
        <v>25</v>
      </c>
    </row>
    <row r="28" spans="1:18" s="56" customFormat="1" ht="13.5" thickBot="1" x14ac:dyDescent="0.25">
      <c r="A28" s="56" t="s">
        <v>50</v>
      </c>
      <c r="B28" s="78">
        <v>0.11</v>
      </c>
      <c r="D28" s="254"/>
      <c r="E28" s="255"/>
      <c r="F28" s="255"/>
      <c r="G28" s="255"/>
      <c r="H28" s="105"/>
      <c r="I28" s="93"/>
      <c r="J28" s="94"/>
      <c r="K28" s="94"/>
      <c r="L28" s="94"/>
      <c r="M28" s="94"/>
      <c r="N28" s="94"/>
      <c r="O28" s="94"/>
      <c r="P28" s="94"/>
      <c r="Q28" s="95"/>
    </row>
    <row r="29" spans="1:18" s="56" customFormat="1" ht="15" customHeight="1" x14ac:dyDescent="0.2">
      <c r="A29" s="56" t="s">
        <v>42</v>
      </c>
      <c r="B29" s="78">
        <v>0.16</v>
      </c>
      <c r="C29" s="78"/>
      <c r="D29" s="251" t="s">
        <v>32</v>
      </c>
      <c r="E29" s="252"/>
      <c r="F29" s="252"/>
      <c r="G29" s="252"/>
      <c r="H29" s="253"/>
      <c r="I29" s="96">
        <f>SUM(I30:I37)</f>
        <v>0</v>
      </c>
      <c r="J29" s="97">
        <f>SUM(J30:J37)</f>
        <v>6.2143999999999995</v>
      </c>
      <c r="K29" s="97">
        <f>SUM(K30:K37)</f>
        <v>1.9750000000000001</v>
      </c>
      <c r="L29" s="97">
        <f>SUM(L30:L37)</f>
        <v>9.8680000000000003</v>
      </c>
      <c r="M29" s="97">
        <f>SUM(M30:M37)</f>
        <v>2.0789999999999997</v>
      </c>
      <c r="N29" s="97">
        <f>SUM(N30:N37)</f>
        <v>0</v>
      </c>
      <c r="O29" s="97">
        <f>SUM(O30:O37)</f>
        <v>0</v>
      </c>
      <c r="P29" s="97">
        <f>SUM(P30:P37)</f>
        <v>0</v>
      </c>
      <c r="Q29" s="98">
        <f>SUM(Q30:Q37)</f>
        <v>0</v>
      </c>
    </row>
    <row r="30" spans="1:18" s="56" customFormat="1" ht="12.75" x14ac:dyDescent="0.2">
      <c r="A30" s="56" t="s">
        <v>43</v>
      </c>
      <c r="B30" s="78">
        <v>0.25</v>
      </c>
      <c r="C30" s="78"/>
      <c r="D30" s="63">
        <v>1</v>
      </c>
      <c r="E30" s="64">
        <v>1</v>
      </c>
      <c r="F30" s="65">
        <v>10</v>
      </c>
      <c r="G30" s="73">
        <v>3.3</v>
      </c>
      <c r="H30" s="66">
        <f>E30*G30</f>
        <v>3.3</v>
      </c>
      <c r="I30" s="99">
        <f t="shared" ref="I30:I37" si="2">IF($F30=4.2,H30*$B$28,0)</f>
        <v>0</v>
      </c>
      <c r="J30" s="72">
        <f t="shared" ref="J30:J37" si="3">IF($F30=5,$H30*$B$29,0)</f>
        <v>0</v>
      </c>
      <c r="K30" s="72">
        <f t="shared" ref="K30:K37" si="4">IF($F30=6.3,$H30*$B$30,0)</f>
        <v>0</v>
      </c>
      <c r="L30" s="72">
        <f t="shared" ref="L30:L37" si="5">IF($F30=8,$H30*$B$31,0)</f>
        <v>0</v>
      </c>
      <c r="M30" s="72">
        <f t="shared" ref="M30:M37" si="6">IF($F30=10,$H30*$B$32,0)</f>
        <v>2.0789999999999997</v>
      </c>
      <c r="N30" s="72">
        <f t="shared" ref="N30:N37" si="7">IF($F30=12.5,$H30*$B$33,0)</f>
        <v>0</v>
      </c>
      <c r="O30" s="72">
        <f t="shared" ref="O30:O37" si="8">IF($F30=16,$H30*$B$34,0)</f>
        <v>0</v>
      </c>
      <c r="P30" s="72">
        <f t="shared" ref="P30:P37" si="9">IF($F30=20,$H30*$B$35,0)</f>
        <v>0</v>
      </c>
      <c r="Q30" s="84">
        <f t="shared" ref="Q30:Q37" si="10">IF($F30=25,$H30*$B$36,0)</f>
        <v>0</v>
      </c>
    </row>
    <row r="31" spans="1:18" s="56" customFormat="1" ht="12.75" x14ac:dyDescent="0.2">
      <c r="A31" s="56" t="s">
        <v>44</v>
      </c>
      <c r="B31" s="78">
        <v>0.4</v>
      </c>
      <c r="C31" s="78"/>
      <c r="D31" s="63">
        <v>2</v>
      </c>
      <c r="E31" s="67">
        <v>1</v>
      </c>
      <c r="F31" s="68">
        <v>8</v>
      </c>
      <c r="G31" s="71">
        <v>1.65</v>
      </c>
      <c r="H31" s="66">
        <f t="shared" ref="H31:H37" si="11">E31*G31</f>
        <v>1.65</v>
      </c>
      <c r="I31" s="99">
        <f t="shared" si="2"/>
        <v>0</v>
      </c>
      <c r="J31" s="72">
        <f t="shared" si="3"/>
        <v>0</v>
      </c>
      <c r="K31" s="72">
        <f t="shared" si="4"/>
        <v>0</v>
      </c>
      <c r="L31" s="72">
        <f t="shared" si="5"/>
        <v>0.66</v>
      </c>
      <c r="M31" s="72">
        <f t="shared" si="6"/>
        <v>0</v>
      </c>
      <c r="N31" s="72">
        <f t="shared" si="7"/>
        <v>0</v>
      </c>
      <c r="O31" s="72">
        <f t="shared" si="8"/>
        <v>0</v>
      </c>
      <c r="P31" s="72">
        <f t="shared" si="9"/>
        <v>0</v>
      </c>
      <c r="Q31" s="84">
        <f t="shared" si="10"/>
        <v>0</v>
      </c>
    </row>
    <row r="32" spans="1:18" s="56" customFormat="1" ht="12.75" x14ac:dyDescent="0.2">
      <c r="A32" s="56" t="s">
        <v>45</v>
      </c>
      <c r="B32" s="78">
        <v>0.63</v>
      </c>
      <c r="C32" s="78"/>
      <c r="D32" s="63">
        <v>3</v>
      </c>
      <c r="E32" s="67">
        <v>2</v>
      </c>
      <c r="F32" s="68">
        <v>8</v>
      </c>
      <c r="G32" s="71">
        <v>3.55</v>
      </c>
      <c r="H32" s="66">
        <f t="shared" si="11"/>
        <v>7.1</v>
      </c>
      <c r="I32" s="99">
        <f t="shared" si="2"/>
        <v>0</v>
      </c>
      <c r="J32" s="72">
        <f t="shared" si="3"/>
        <v>0</v>
      </c>
      <c r="K32" s="72">
        <f t="shared" si="4"/>
        <v>0</v>
      </c>
      <c r="L32" s="72">
        <f t="shared" si="5"/>
        <v>2.84</v>
      </c>
      <c r="M32" s="72">
        <f t="shared" si="6"/>
        <v>0</v>
      </c>
      <c r="N32" s="72">
        <f t="shared" si="7"/>
        <v>0</v>
      </c>
      <c r="O32" s="72">
        <f t="shared" si="8"/>
        <v>0</v>
      </c>
      <c r="P32" s="72">
        <f t="shared" si="9"/>
        <v>0</v>
      </c>
      <c r="Q32" s="84">
        <f t="shared" si="10"/>
        <v>0</v>
      </c>
    </row>
    <row r="33" spans="1:17" s="56" customFormat="1" ht="12.75" x14ac:dyDescent="0.2">
      <c r="A33" s="56" t="s">
        <v>46</v>
      </c>
      <c r="B33" s="78">
        <v>1</v>
      </c>
      <c r="C33" s="78"/>
      <c r="D33" s="63">
        <v>4</v>
      </c>
      <c r="E33" s="67">
        <v>2</v>
      </c>
      <c r="F33" s="68">
        <v>5</v>
      </c>
      <c r="G33" s="71">
        <v>2.9</v>
      </c>
      <c r="H33" s="66">
        <f t="shared" si="11"/>
        <v>5.8</v>
      </c>
      <c r="I33" s="99">
        <f t="shared" si="2"/>
        <v>0</v>
      </c>
      <c r="J33" s="72">
        <f t="shared" si="3"/>
        <v>0.92799999999999994</v>
      </c>
      <c r="K33" s="72">
        <f t="shared" si="4"/>
        <v>0</v>
      </c>
      <c r="L33" s="72">
        <f t="shared" si="5"/>
        <v>0</v>
      </c>
      <c r="M33" s="72">
        <f t="shared" si="6"/>
        <v>0</v>
      </c>
      <c r="N33" s="72">
        <f t="shared" si="7"/>
        <v>0</v>
      </c>
      <c r="O33" s="72">
        <f t="shared" si="8"/>
        <v>0</v>
      </c>
      <c r="P33" s="72">
        <f t="shared" si="9"/>
        <v>0</v>
      </c>
      <c r="Q33" s="84">
        <f t="shared" si="10"/>
        <v>0</v>
      </c>
    </row>
    <row r="34" spans="1:17" s="56" customFormat="1" ht="12.75" x14ac:dyDescent="0.2">
      <c r="A34" s="56" t="s">
        <v>47</v>
      </c>
      <c r="B34" s="78">
        <v>1.6</v>
      </c>
      <c r="C34" s="78"/>
      <c r="D34" s="63">
        <v>5</v>
      </c>
      <c r="E34" s="67">
        <v>2</v>
      </c>
      <c r="F34" s="68">
        <v>6.3</v>
      </c>
      <c r="G34" s="71">
        <v>2</v>
      </c>
      <c r="H34" s="66">
        <f t="shared" si="11"/>
        <v>4</v>
      </c>
      <c r="I34" s="99">
        <f t="shared" si="2"/>
        <v>0</v>
      </c>
      <c r="J34" s="72">
        <f t="shared" si="3"/>
        <v>0</v>
      </c>
      <c r="K34" s="72">
        <f t="shared" si="4"/>
        <v>1</v>
      </c>
      <c r="L34" s="72">
        <f t="shared" si="5"/>
        <v>0</v>
      </c>
      <c r="M34" s="72">
        <f t="shared" si="6"/>
        <v>0</v>
      </c>
      <c r="N34" s="72">
        <f t="shared" si="7"/>
        <v>0</v>
      </c>
      <c r="O34" s="72">
        <f t="shared" si="8"/>
        <v>0</v>
      </c>
      <c r="P34" s="72">
        <f t="shared" si="9"/>
        <v>0</v>
      </c>
      <c r="Q34" s="84">
        <f t="shared" si="10"/>
        <v>0</v>
      </c>
    </row>
    <row r="35" spans="1:17" s="56" customFormat="1" ht="12.75" x14ac:dyDescent="0.2">
      <c r="A35" s="56" t="s">
        <v>48</v>
      </c>
      <c r="B35" s="78">
        <v>2.5</v>
      </c>
      <c r="C35" s="78"/>
      <c r="D35" s="63">
        <v>6</v>
      </c>
      <c r="E35" s="67">
        <v>2</v>
      </c>
      <c r="F35" s="68">
        <v>8</v>
      </c>
      <c r="G35" s="71">
        <v>7.96</v>
      </c>
      <c r="H35" s="66">
        <f t="shared" si="11"/>
        <v>15.92</v>
      </c>
      <c r="I35" s="99">
        <f t="shared" si="2"/>
        <v>0</v>
      </c>
      <c r="J35" s="72">
        <f t="shared" si="3"/>
        <v>0</v>
      </c>
      <c r="K35" s="72">
        <f t="shared" si="4"/>
        <v>0</v>
      </c>
      <c r="L35" s="72">
        <f t="shared" si="5"/>
        <v>6.3680000000000003</v>
      </c>
      <c r="M35" s="72">
        <f t="shared" si="6"/>
        <v>0</v>
      </c>
      <c r="N35" s="72">
        <f t="shared" si="7"/>
        <v>0</v>
      </c>
      <c r="O35" s="72">
        <f t="shared" si="8"/>
        <v>0</v>
      </c>
      <c r="P35" s="72">
        <f t="shared" si="9"/>
        <v>0</v>
      </c>
      <c r="Q35" s="84">
        <f t="shared" si="10"/>
        <v>0</v>
      </c>
    </row>
    <row r="36" spans="1:17" s="56" customFormat="1" ht="12.75" x14ac:dyDescent="0.2">
      <c r="A36" s="56" t="s">
        <v>49</v>
      </c>
      <c r="B36" s="78">
        <v>3.85</v>
      </c>
      <c r="C36" s="78"/>
      <c r="D36" s="63">
        <v>7</v>
      </c>
      <c r="E36" s="67">
        <v>1</v>
      </c>
      <c r="F36" s="68">
        <v>6.3</v>
      </c>
      <c r="G36" s="71">
        <v>3.9</v>
      </c>
      <c r="H36" s="66">
        <f t="shared" si="11"/>
        <v>3.9</v>
      </c>
      <c r="I36" s="99">
        <f t="shared" si="2"/>
        <v>0</v>
      </c>
      <c r="J36" s="72">
        <f t="shared" si="3"/>
        <v>0</v>
      </c>
      <c r="K36" s="72">
        <f t="shared" si="4"/>
        <v>0.97499999999999998</v>
      </c>
      <c r="L36" s="72">
        <f t="shared" si="5"/>
        <v>0</v>
      </c>
      <c r="M36" s="72">
        <f t="shared" si="6"/>
        <v>0</v>
      </c>
      <c r="N36" s="72">
        <f t="shared" si="7"/>
        <v>0</v>
      </c>
      <c r="O36" s="72">
        <f t="shared" si="8"/>
        <v>0</v>
      </c>
      <c r="P36" s="72">
        <f t="shared" si="9"/>
        <v>0</v>
      </c>
      <c r="Q36" s="84">
        <f t="shared" si="10"/>
        <v>0</v>
      </c>
    </row>
    <row r="37" spans="1:17" s="56" customFormat="1" ht="12.75" x14ac:dyDescent="0.2">
      <c r="C37" s="78"/>
      <c r="D37" s="63">
        <v>8</v>
      </c>
      <c r="E37" s="67">
        <v>28</v>
      </c>
      <c r="F37" s="68">
        <v>5</v>
      </c>
      <c r="G37" s="71">
        <v>1.18</v>
      </c>
      <c r="H37" s="66">
        <f t="shared" si="11"/>
        <v>33.04</v>
      </c>
      <c r="I37" s="99">
        <f t="shared" si="2"/>
        <v>0</v>
      </c>
      <c r="J37" s="72">
        <f t="shared" si="3"/>
        <v>5.2863999999999995</v>
      </c>
      <c r="K37" s="72">
        <f t="shared" si="4"/>
        <v>0</v>
      </c>
      <c r="L37" s="72">
        <f t="shared" si="5"/>
        <v>0</v>
      </c>
      <c r="M37" s="72">
        <f t="shared" si="6"/>
        <v>0</v>
      </c>
      <c r="N37" s="72">
        <f t="shared" si="7"/>
        <v>0</v>
      </c>
      <c r="O37" s="72">
        <f t="shared" si="8"/>
        <v>0</v>
      </c>
      <c r="P37" s="72">
        <f t="shared" si="9"/>
        <v>0</v>
      </c>
      <c r="Q37" s="84">
        <f t="shared" si="10"/>
        <v>0</v>
      </c>
    </row>
    <row r="38" spans="1:17" s="56" customFormat="1" ht="13.5" thickBot="1" x14ac:dyDescent="0.25">
      <c r="D38" s="63"/>
      <c r="E38" s="67"/>
      <c r="F38" s="68"/>
      <c r="G38" s="73"/>
      <c r="H38" s="66"/>
      <c r="I38" s="100"/>
      <c r="J38" s="72"/>
      <c r="K38" s="72"/>
      <c r="L38" s="72"/>
      <c r="M38" s="72"/>
      <c r="N38" s="72"/>
      <c r="O38" s="72"/>
      <c r="P38" s="72"/>
      <c r="Q38" s="84"/>
    </row>
    <row r="39" spans="1:17" s="56" customFormat="1" ht="15" customHeight="1" x14ac:dyDescent="0.2">
      <c r="D39" s="251" t="s">
        <v>33</v>
      </c>
      <c r="E39" s="252"/>
      <c r="F39" s="252"/>
      <c r="G39" s="252"/>
      <c r="H39" s="253"/>
      <c r="I39" s="96">
        <f>SUM(I40:I43)</f>
        <v>0</v>
      </c>
      <c r="J39" s="97">
        <f>SUM(J40:J43)</f>
        <v>3.5488</v>
      </c>
      <c r="K39" s="97">
        <f>SUM(K40:K43)</f>
        <v>0</v>
      </c>
      <c r="L39" s="97">
        <f>SUM(L40:L43)</f>
        <v>3.6240000000000006</v>
      </c>
      <c r="M39" s="97">
        <f>SUM(M40:M43)</f>
        <v>2.835</v>
      </c>
      <c r="N39" s="97">
        <f>SUM(N40:N43)</f>
        <v>0</v>
      </c>
      <c r="O39" s="97">
        <f>SUM(O40:O43)</f>
        <v>0</v>
      </c>
      <c r="P39" s="97">
        <f>SUM(P40:P43)</f>
        <v>0</v>
      </c>
      <c r="Q39" s="98">
        <f>SUM(Q40:Q43)</f>
        <v>0</v>
      </c>
    </row>
    <row r="40" spans="1:17" s="56" customFormat="1" ht="12.75" x14ac:dyDescent="0.2">
      <c r="D40" s="63">
        <v>1</v>
      </c>
      <c r="E40" s="67">
        <v>2</v>
      </c>
      <c r="F40" s="68">
        <v>10</v>
      </c>
      <c r="G40" s="71">
        <v>2.25</v>
      </c>
      <c r="H40" s="66">
        <f>E40*G40</f>
        <v>4.5</v>
      </c>
      <c r="I40" s="99">
        <f t="shared" ref="I40:I43" si="12">IF($F40=4.2,H40*$B$28,0)</f>
        <v>0</v>
      </c>
      <c r="J40" s="72">
        <f t="shared" ref="J40:J43" si="13">IF($F40=5,$H40*$B$29,0)</f>
        <v>0</v>
      </c>
      <c r="K40" s="72">
        <f t="shared" ref="K40:K43" si="14">IF($F40=6.3,$H40*$B$30,0)</f>
        <v>0</v>
      </c>
      <c r="L40" s="72">
        <f t="shared" ref="L40:L43" si="15">IF($F40=8,$H40*$B$31,0)</f>
        <v>0</v>
      </c>
      <c r="M40" s="72">
        <f t="shared" ref="M40:M43" si="16">IF($F40=10,$H40*$B$32,0)</f>
        <v>2.835</v>
      </c>
      <c r="N40" s="72">
        <f t="shared" ref="N40:N43" si="17">IF($F40=12.5,$H40*$B$33,0)</f>
        <v>0</v>
      </c>
      <c r="O40" s="72">
        <f t="shared" ref="O40:O43" si="18">IF($F40=16,$H40*$B$34,0)</f>
        <v>0</v>
      </c>
      <c r="P40" s="72">
        <f t="shared" ref="P40:P43" si="19">IF($F40=20,$H40*$B$35,0)</f>
        <v>0</v>
      </c>
      <c r="Q40" s="84">
        <f t="shared" ref="Q40:Q43" si="20">IF($F40=25,$H40*$B$36,0)</f>
        <v>0</v>
      </c>
    </row>
    <row r="41" spans="1:17" s="56" customFormat="1" ht="12.75" x14ac:dyDescent="0.2">
      <c r="D41" s="63">
        <v>2</v>
      </c>
      <c r="E41" s="67">
        <v>2</v>
      </c>
      <c r="F41" s="68">
        <v>5</v>
      </c>
      <c r="G41" s="71">
        <v>2.35</v>
      </c>
      <c r="H41" s="66">
        <f t="shared" ref="H41:H43" si="21">E41*G41</f>
        <v>4.7</v>
      </c>
      <c r="I41" s="99">
        <f t="shared" si="12"/>
        <v>0</v>
      </c>
      <c r="J41" s="72">
        <f t="shared" si="13"/>
        <v>0.752</v>
      </c>
      <c r="K41" s="72">
        <f t="shared" si="14"/>
        <v>0</v>
      </c>
      <c r="L41" s="72">
        <f t="shared" si="15"/>
        <v>0</v>
      </c>
      <c r="M41" s="72">
        <f t="shared" si="16"/>
        <v>0</v>
      </c>
      <c r="N41" s="72">
        <f t="shared" si="17"/>
        <v>0</v>
      </c>
      <c r="O41" s="72">
        <f t="shared" si="18"/>
        <v>0</v>
      </c>
      <c r="P41" s="72">
        <f t="shared" si="19"/>
        <v>0</v>
      </c>
      <c r="Q41" s="84">
        <f t="shared" si="20"/>
        <v>0</v>
      </c>
    </row>
    <row r="42" spans="1:17" s="56" customFormat="1" ht="12.75" x14ac:dyDescent="0.2">
      <c r="D42" s="63">
        <v>3</v>
      </c>
      <c r="E42" s="67">
        <v>2</v>
      </c>
      <c r="F42" s="68">
        <v>8</v>
      </c>
      <c r="G42" s="71">
        <v>4.53</v>
      </c>
      <c r="H42" s="66">
        <f t="shared" si="21"/>
        <v>9.06</v>
      </c>
      <c r="I42" s="99">
        <f t="shared" si="12"/>
        <v>0</v>
      </c>
      <c r="J42" s="72">
        <f t="shared" si="13"/>
        <v>0</v>
      </c>
      <c r="K42" s="72">
        <f t="shared" si="14"/>
        <v>0</v>
      </c>
      <c r="L42" s="72">
        <f t="shared" si="15"/>
        <v>3.6240000000000006</v>
      </c>
      <c r="M42" s="72">
        <f t="shared" si="16"/>
        <v>0</v>
      </c>
      <c r="N42" s="72">
        <f t="shared" si="17"/>
        <v>0</v>
      </c>
      <c r="O42" s="72">
        <f t="shared" si="18"/>
        <v>0</v>
      </c>
      <c r="P42" s="72">
        <f t="shared" si="19"/>
        <v>0</v>
      </c>
      <c r="Q42" s="84">
        <f t="shared" si="20"/>
        <v>0</v>
      </c>
    </row>
    <row r="43" spans="1:17" s="56" customFormat="1" ht="12.75" x14ac:dyDescent="0.2">
      <c r="D43" s="63">
        <v>4</v>
      </c>
      <c r="E43" s="67">
        <v>19</v>
      </c>
      <c r="F43" s="68">
        <v>5</v>
      </c>
      <c r="G43" s="71">
        <v>0.92</v>
      </c>
      <c r="H43" s="66">
        <f t="shared" si="21"/>
        <v>17.48</v>
      </c>
      <c r="I43" s="99">
        <f t="shared" si="12"/>
        <v>0</v>
      </c>
      <c r="J43" s="72">
        <f t="shared" si="13"/>
        <v>2.7968000000000002</v>
      </c>
      <c r="K43" s="72">
        <f t="shared" si="14"/>
        <v>0</v>
      </c>
      <c r="L43" s="72">
        <f t="shared" si="15"/>
        <v>0</v>
      </c>
      <c r="M43" s="72">
        <f t="shared" si="16"/>
        <v>0</v>
      </c>
      <c r="N43" s="72">
        <f t="shared" si="17"/>
        <v>0</v>
      </c>
      <c r="O43" s="72">
        <f t="shared" si="18"/>
        <v>0</v>
      </c>
      <c r="P43" s="72">
        <f t="shared" si="19"/>
        <v>0</v>
      </c>
      <c r="Q43" s="84">
        <f t="shared" si="20"/>
        <v>0</v>
      </c>
    </row>
    <row r="44" spans="1:17" s="56" customFormat="1" ht="13.5" thickBot="1" x14ac:dyDescent="0.25">
      <c r="D44" s="63"/>
      <c r="E44" s="67"/>
      <c r="F44" s="68"/>
      <c r="G44" s="71"/>
      <c r="H44" s="66"/>
      <c r="I44" s="99"/>
      <c r="J44" s="72"/>
      <c r="K44" s="72"/>
      <c r="L44" s="72"/>
      <c r="M44" s="72"/>
      <c r="N44" s="72"/>
      <c r="O44" s="72"/>
      <c r="P44" s="72"/>
      <c r="Q44" s="84"/>
    </row>
    <row r="45" spans="1:17" s="56" customFormat="1" ht="15" customHeight="1" x14ac:dyDescent="0.2">
      <c r="D45" s="251" t="s">
        <v>34</v>
      </c>
      <c r="E45" s="252"/>
      <c r="F45" s="252"/>
      <c r="G45" s="252"/>
      <c r="H45" s="253"/>
      <c r="I45" s="96">
        <f>SUM(I46:I51)</f>
        <v>0</v>
      </c>
      <c r="J45" s="97">
        <f>SUM(J46:J51)</f>
        <v>6.4672000000000001</v>
      </c>
      <c r="K45" s="97">
        <f>SUM(K46:K51)</f>
        <v>1.0874999999999999</v>
      </c>
      <c r="L45" s="97">
        <f>SUM(L46:L51)</f>
        <v>6.3760000000000003</v>
      </c>
      <c r="M45" s="97">
        <f>SUM(M46:M51)</f>
        <v>6.7409999999999997</v>
      </c>
      <c r="N45" s="97">
        <f>SUM(N46:N51)</f>
        <v>0</v>
      </c>
      <c r="O45" s="97">
        <f>SUM(O46:O51)</f>
        <v>0</v>
      </c>
      <c r="P45" s="97">
        <f>SUM(P46:P51)</f>
        <v>0</v>
      </c>
      <c r="Q45" s="98">
        <f>SUM(Q46:Q51)</f>
        <v>0</v>
      </c>
    </row>
    <row r="46" spans="1:17" s="56" customFormat="1" ht="12.75" x14ac:dyDescent="0.2">
      <c r="D46" s="63">
        <v>1</v>
      </c>
      <c r="E46" s="64">
        <v>2</v>
      </c>
      <c r="F46" s="65">
        <v>10</v>
      </c>
      <c r="G46" s="73">
        <v>3.8</v>
      </c>
      <c r="H46" s="66">
        <f>E46*G46</f>
        <v>7.6</v>
      </c>
      <c r="I46" s="99">
        <f t="shared" ref="I46:I51" si="22">IF($F46=4.2,H46*$B$28,0)</f>
        <v>0</v>
      </c>
      <c r="J46" s="72">
        <f t="shared" ref="J46:J51" si="23">IF($F46=5,$H46*$B$29,0)</f>
        <v>0</v>
      </c>
      <c r="K46" s="72">
        <f t="shared" ref="K46:K51" si="24">IF($F46=6.3,$H46*$B$30,0)</f>
        <v>0</v>
      </c>
      <c r="L46" s="72">
        <f t="shared" ref="L46:L51" si="25">IF($F46=8,$H46*$B$31,0)</f>
        <v>0</v>
      </c>
      <c r="M46" s="72">
        <f t="shared" ref="M46:M51" si="26">IF($F46=10,$H46*$B$32,0)</f>
        <v>4.7879999999999994</v>
      </c>
      <c r="N46" s="72">
        <f t="shared" ref="N46:N51" si="27">IF($F46=12.5,$H46*$B$33,0)</f>
        <v>0</v>
      </c>
      <c r="O46" s="72">
        <f t="shared" ref="O46:O51" si="28">IF($F46=16,$H46*$B$34,0)</f>
        <v>0</v>
      </c>
      <c r="P46" s="72">
        <f t="shared" ref="P46:P51" si="29">IF($F46=20,$H46*$B$35,0)</f>
        <v>0</v>
      </c>
      <c r="Q46" s="84">
        <f t="shared" ref="Q46:Q51" si="30">IF($F46=25,$H46*$B$36,0)</f>
        <v>0</v>
      </c>
    </row>
    <row r="47" spans="1:17" s="56" customFormat="1" ht="12.75" x14ac:dyDescent="0.2">
      <c r="D47" s="63">
        <v>2</v>
      </c>
      <c r="E47" s="67">
        <v>2</v>
      </c>
      <c r="F47" s="68">
        <v>5</v>
      </c>
      <c r="G47" s="71">
        <v>3.1</v>
      </c>
      <c r="H47" s="66">
        <f t="shared" ref="H47:H51" si="31">E47*G47</f>
        <v>6.2</v>
      </c>
      <c r="I47" s="99">
        <f t="shared" si="22"/>
        <v>0</v>
      </c>
      <c r="J47" s="72">
        <f t="shared" si="23"/>
        <v>0.9920000000000001</v>
      </c>
      <c r="K47" s="72">
        <f t="shared" si="24"/>
        <v>0</v>
      </c>
      <c r="L47" s="72">
        <f t="shared" si="25"/>
        <v>0</v>
      </c>
      <c r="M47" s="72">
        <f t="shared" si="26"/>
        <v>0</v>
      </c>
      <c r="N47" s="72">
        <f t="shared" si="27"/>
        <v>0</v>
      </c>
      <c r="O47" s="72">
        <f t="shared" si="28"/>
        <v>0</v>
      </c>
      <c r="P47" s="72">
        <f t="shared" si="29"/>
        <v>0</v>
      </c>
      <c r="Q47" s="84">
        <f t="shared" si="30"/>
        <v>0</v>
      </c>
    </row>
    <row r="48" spans="1:17" s="56" customFormat="1" ht="12.75" x14ac:dyDescent="0.2">
      <c r="D48" s="63">
        <v>3</v>
      </c>
      <c r="E48" s="67">
        <v>2</v>
      </c>
      <c r="F48" s="68">
        <v>10</v>
      </c>
      <c r="G48" s="71">
        <v>1.55</v>
      </c>
      <c r="H48" s="66">
        <f t="shared" si="31"/>
        <v>3.1</v>
      </c>
      <c r="I48" s="99">
        <f t="shared" si="22"/>
        <v>0</v>
      </c>
      <c r="J48" s="72">
        <f t="shared" si="23"/>
        <v>0</v>
      </c>
      <c r="K48" s="72">
        <f t="shared" si="24"/>
        <v>0</v>
      </c>
      <c r="L48" s="72">
        <f t="shared" si="25"/>
        <v>0</v>
      </c>
      <c r="M48" s="72">
        <f t="shared" si="26"/>
        <v>1.9530000000000001</v>
      </c>
      <c r="N48" s="72">
        <f t="shared" si="27"/>
        <v>0</v>
      </c>
      <c r="O48" s="72">
        <f t="shared" si="28"/>
        <v>0</v>
      </c>
      <c r="P48" s="72">
        <f t="shared" si="29"/>
        <v>0</v>
      </c>
      <c r="Q48" s="84">
        <f t="shared" si="30"/>
        <v>0</v>
      </c>
    </row>
    <row r="49" spans="4:17" s="56" customFormat="1" ht="12.75" x14ac:dyDescent="0.2">
      <c r="D49" s="63">
        <v>4</v>
      </c>
      <c r="E49" s="67">
        <v>2</v>
      </c>
      <c r="F49" s="68">
        <v>8</v>
      </c>
      <c r="G49" s="71">
        <v>7.97</v>
      </c>
      <c r="H49" s="66">
        <f t="shared" si="31"/>
        <v>15.94</v>
      </c>
      <c r="I49" s="99">
        <f t="shared" si="22"/>
        <v>0</v>
      </c>
      <c r="J49" s="72">
        <f t="shared" si="23"/>
        <v>0</v>
      </c>
      <c r="K49" s="72">
        <f t="shared" si="24"/>
        <v>0</v>
      </c>
      <c r="L49" s="72">
        <f t="shared" si="25"/>
        <v>6.3760000000000003</v>
      </c>
      <c r="M49" s="72">
        <f t="shared" si="26"/>
        <v>0</v>
      </c>
      <c r="N49" s="72">
        <f t="shared" si="27"/>
        <v>0</v>
      </c>
      <c r="O49" s="72">
        <f t="shared" si="28"/>
        <v>0</v>
      </c>
      <c r="P49" s="72">
        <f t="shared" si="29"/>
        <v>0</v>
      </c>
      <c r="Q49" s="84">
        <f t="shared" si="30"/>
        <v>0</v>
      </c>
    </row>
    <row r="50" spans="4:17" s="56" customFormat="1" ht="12.75" x14ac:dyDescent="0.2">
      <c r="D50" s="63">
        <v>5</v>
      </c>
      <c r="E50" s="67">
        <v>1</v>
      </c>
      <c r="F50" s="68">
        <v>6.3</v>
      </c>
      <c r="G50" s="71">
        <v>4.3499999999999996</v>
      </c>
      <c r="H50" s="66">
        <f t="shared" si="31"/>
        <v>4.3499999999999996</v>
      </c>
      <c r="I50" s="99">
        <f t="shared" si="22"/>
        <v>0</v>
      </c>
      <c r="J50" s="72">
        <f t="shared" si="23"/>
        <v>0</v>
      </c>
      <c r="K50" s="72">
        <f t="shared" si="24"/>
        <v>1.0874999999999999</v>
      </c>
      <c r="L50" s="72">
        <f t="shared" si="25"/>
        <v>0</v>
      </c>
      <c r="M50" s="72">
        <f t="shared" si="26"/>
        <v>0</v>
      </c>
      <c r="N50" s="72">
        <f t="shared" si="27"/>
        <v>0</v>
      </c>
      <c r="O50" s="72">
        <f t="shared" si="28"/>
        <v>0</v>
      </c>
      <c r="P50" s="72">
        <f t="shared" si="29"/>
        <v>0</v>
      </c>
      <c r="Q50" s="84">
        <f t="shared" si="30"/>
        <v>0</v>
      </c>
    </row>
    <row r="51" spans="4:17" s="56" customFormat="1" ht="12.75" x14ac:dyDescent="0.2">
      <c r="D51" s="63">
        <v>6</v>
      </c>
      <c r="E51" s="67">
        <v>29</v>
      </c>
      <c r="F51" s="68">
        <v>5</v>
      </c>
      <c r="G51" s="71">
        <v>1.18</v>
      </c>
      <c r="H51" s="66">
        <f t="shared" si="31"/>
        <v>34.22</v>
      </c>
      <c r="I51" s="99">
        <f t="shared" si="22"/>
        <v>0</v>
      </c>
      <c r="J51" s="72">
        <f t="shared" si="23"/>
        <v>5.4752000000000001</v>
      </c>
      <c r="K51" s="72">
        <f t="shared" si="24"/>
        <v>0</v>
      </c>
      <c r="L51" s="72">
        <f t="shared" si="25"/>
        <v>0</v>
      </c>
      <c r="M51" s="72">
        <f t="shared" si="26"/>
        <v>0</v>
      </c>
      <c r="N51" s="72">
        <f t="shared" si="27"/>
        <v>0</v>
      </c>
      <c r="O51" s="72">
        <f t="shared" si="28"/>
        <v>0</v>
      </c>
      <c r="P51" s="72">
        <f t="shared" si="29"/>
        <v>0</v>
      </c>
      <c r="Q51" s="84">
        <f t="shared" si="30"/>
        <v>0</v>
      </c>
    </row>
    <row r="52" spans="4:17" s="56" customFormat="1" ht="13.5" thickBot="1" x14ac:dyDescent="0.25">
      <c r="D52" s="70"/>
      <c r="E52" s="106"/>
      <c r="F52" s="107"/>
      <c r="G52" s="79"/>
      <c r="H52" s="66"/>
      <c r="I52" s="108"/>
      <c r="J52" s="109"/>
      <c r="K52" s="109"/>
      <c r="L52" s="109"/>
      <c r="M52" s="109"/>
      <c r="N52" s="109"/>
      <c r="O52" s="109"/>
      <c r="P52" s="109"/>
      <c r="Q52" s="110"/>
    </row>
    <row r="53" spans="4:17" s="56" customFormat="1" ht="15" customHeight="1" x14ac:dyDescent="0.2">
      <c r="D53" s="256" t="s">
        <v>35</v>
      </c>
      <c r="E53" s="257"/>
      <c r="F53" s="257"/>
      <c r="G53" s="257"/>
      <c r="H53" s="258"/>
      <c r="I53" s="96">
        <f>SUM(I54:I59)</f>
        <v>0</v>
      </c>
      <c r="J53" s="97">
        <f>SUM(J54:J59)</f>
        <v>6.1663999999999994</v>
      </c>
      <c r="K53" s="97">
        <f>SUM(K54:K59)</f>
        <v>0</v>
      </c>
      <c r="L53" s="97">
        <f>SUM(L54:L59)</f>
        <v>8.0280000000000005</v>
      </c>
      <c r="M53" s="97">
        <f>SUM(M54:M59)</f>
        <v>7.2449999999999992</v>
      </c>
      <c r="N53" s="97">
        <f>SUM(N54:N59)</f>
        <v>0</v>
      </c>
      <c r="O53" s="97">
        <f>SUM(O54:O59)</f>
        <v>0</v>
      </c>
      <c r="P53" s="97">
        <f>SUM(P54:P59)</f>
        <v>0</v>
      </c>
      <c r="Q53" s="98">
        <f>SUM(Q54:Q59)</f>
        <v>0</v>
      </c>
    </row>
    <row r="54" spans="4:17" s="56" customFormat="1" ht="12.75" x14ac:dyDescent="0.2">
      <c r="D54" s="63">
        <v>1</v>
      </c>
      <c r="E54" s="64">
        <v>2</v>
      </c>
      <c r="F54" s="65">
        <v>10</v>
      </c>
      <c r="G54" s="73">
        <v>3.8</v>
      </c>
      <c r="H54" s="66">
        <f t="shared" ref="H54:H83" si="32">E54*G54</f>
        <v>7.6</v>
      </c>
      <c r="I54" s="101">
        <f>IF($F54=4.2,H54*$B$28,0)</f>
        <v>0</v>
      </c>
      <c r="J54" s="75">
        <f>IF($F54=5,$H54*$B$29,0)</f>
        <v>0</v>
      </c>
      <c r="K54" s="75">
        <f>IF($F54=6.3,$H54*$B$30,0)</f>
        <v>0</v>
      </c>
      <c r="L54" s="75">
        <f>IF($F54=8,$H54*$B$31,0)</f>
        <v>0</v>
      </c>
      <c r="M54" s="75">
        <f>IF($F54=10,$H54*$B$32,0)</f>
        <v>4.7879999999999994</v>
      </c>
      <c r="N54" s="75">
        <f>IF($F54=12.5,$H54*$B$33,0)</f>
        <v>0</v>
      </c>
      <c r="O54" s="75">
        <f>IF($F54=16,$H54*$B$34,0)</f>
        <v>0</v>
      </c>
      <c r="P54" s="75">
        <f>IF($F54=20,$H54*$B$35,0)</f>
        <v>0</v>
      </c>
      <c r="Q54" s="102">
        <f>IF($F54=25,$H54*$B$36,0)</f>
        <v>0</v>
      </c>
    </row>
    <row r="55" spans="4:17" s="56" customFormat="1" ht="12.75" x14ac:dyDescent="0.2">
      <c r="D55" s="63">
        <v>2</v>
      </c>
      <c r="E55" s="64">
        <v>2</v>
      </c>
      <c r="F55" s="65">
        <v>5</v>
      </c>
      <c r="G55" s="73">
        <v>2.75</v>
      </c>
      <c r="H55" s="66">
        <f t="shared" si="32"/>
        <v>5.5</v>
      </c>
      <c r="I55" s="101">
        <f t="shared" ref="I55:I83" si="33">IF($F55=4.2,H55*$B$28,0)</f>
        <v>0</v>
      </c>
      <c r="J55" s="75">
        <f t="shared" ref="J55:J83" si="34">IF($F55=5,$H55*$B$29,0)</f>
        <v>0.88</v>
      </c>
      <c r="K55" s="75">
        <f t="shared" ref="K55:K83" si="35">IF($F55=6.3,$H55*$B$30,0)</f>
        <v>0</v>
      </c>
      <c r="L55" s="75">
        <f t="shared" ref="L55:L59" si="36">IF($F55=8,$H55*$B$31,0)</f>
        <v>0</v>
      </c>
      <c r="M55" s="75">
        <f t="shared" ref="M55:M83" si="37">IF($F55=10,$H55*$B$32,0)</f>
        <v>0</v>
      </c>
      <c r="N55" s="75">
        <f t="shared" ref="N55:N83" si="38">IF($F55=12.5,$H55*$B$33,0)</f>
        <v>0</v>
      </c>
      <c r="O55" s="75">
        <f t="shared" ref="O55:O83" si="39">IF($F55=16,$H55*$B$34,0)</f>
        <v>0</v>
      </c>
      <c r="P55" s="75">
        <f t="shared" ref="P55:P83" si="40">IF($F55=20,$H55*$B$35,0)</f>
        <v>0</v>
      </c>
      <c r="Q55" s="102">
        <f t="shared" ref="Q55:Q83" si="41">IF($F55=25,$H55*$B$36,0)</f>
        <v>0</v>
      </c>
    </row>
    <row r="56" spans="4:17" s="56" customFormat="1" ht="12.75" x14ac:dyDescent="0.2">
      <c r="D56" s="63">
        <v>3</v>
      </c>
      <c r="E56" s="64">
        <v>2</v>
      </c>
      <c r="F56" s="65">
        <v>10</v>
      </c>
      <c r="G56" s="73">
        <v>1.95</v>
      </c>
      <c r="H56" s="66">
        <f t="shared" si="32"/>
        <v>3.9</v>
      </c>
      <c r="I56" s="101">
        <f t="shared" si="33"/>
        <v>0</v>
      </c>
      <c r="J56" s="75">
        <f t="shared" si="34"/>
        <v>0</v>
      </c>
      <c r="K56" s="75">
        <f t="shared" si="35"/>
        <v>0</v>
      </c>
      <c r="L56" s="75">
        <f t="shared" si="36"/>
        <v>0</v>
      </c>
      <c r="M56" s="75">
        <f t="shared" si="37"/>
        <v>2.4569999999999999</v>
      </c>
      <c r="N56" s="75">
        <f t="shared" si="38"/>
        <v>0</v>
      </c>
      <c r="O56" s="75">
        <f t="shared" si="39"/>
        <v>0</v>
      </c>
      <c r="P56" s="75">
        <f t="shared" si="40"/>
        <v>0</v>
      </c>
      <c r="Q56" s="102">
        <f t="shared" si="41"/>
        <v>0</v>
      </c>
    </row>
    <row r="57" spans="4:17" s="56" customFormat="1" ht="12.75" x14ac:dyDescent="0.2">
      <c r="D57" s="63">
        <v>4</v>
      </c>
      <c r="E57" s="64">
        <v>2</v>
      </c>
      <c r="F57" s="65">
        <v>8</v>
      </c>
      <c r="G57" s="73">
        <v>7.96</v>
      </c>
      <c r="H57" s="66">
        <f t="shared" si="32"/>
        <v>15.92</v>
      </c>
      <c r="I57" s="101">
        <f t="shared" si="33"/>
        <v>0</v>
      </c>
      <c r="J57" s="75">
        <f t="shared" si="34"/>
        <v>0</v>
      </c>
      <c r="K57" s="75">
        <f t="shared" si="35"/>
        <v>0</v>
      </c>
      <c r="L57" s="75">
        <f t="shared" si="36"/>
        <v>6.3680000000000003</v>
      </c>
      <c r="M57" s="75">
        <f t="shared" si="37"/>
        <v>0</v>
      </c>
      <c r="N57" s="75">
        <f t="shared" si="38"/>
        <v>0</v>
      </c>
      <c r="O57" s="75">
        <f t="shared" si="39"/>
        <v>0</v>
      </c>
      <c r="P57" s="75">
        <f t="shared" si="40"/>
        <v>0</v>
      </c>
      <c r="Q57" s="102">
        <f t="shared" si="41"/>
        <v>0</v>
      </c>
    </row>
    <row r="58" spans="4:17" s="56" customFormat="1" ht="12.75" x14ac:dyDescent="0.2">
      <c r="D58" s="63">
        <v>5</v>
      </c>
      <c r="E58" s="64">
        <v>1</v>
      </c>
      <c r="F58" s="65">
        <v>8</v>
      </c>
      <c r="G58" s="73">
        <v>4.1500000000000004</v>
      </c>
      <c r="H58" s="66">
        <f t="shared" si="32"/>
        <v>4.1500000000000004</v>
      </c>
      <c r="I58" s="101">
        <f t="shared" si="33"/>
        <v>0</v>
      </c>
      <c r="J58" s="75">
        <f t="shared" si="34"/>
        <v>0</v>
      </c>
      <c r="K58" s="75">
        <f t="shared" si="35"/>
        <v>0</v>
      </c>
      <c r="L58" s="75">
        <f t="shared" si="36"/>
        <v>1.6600000000000001</v>
      </c>
      <c r="M58" s="75">
        <f t="shared" si="37"/>
        <v>0</v>
      </c>
      <c r="N58" s="75">
        <f t="shared" si="38"/>
        <v>0</v>
      </c>
      <c r="O58" s="75">
        <f t="shared" si="39"/>
        <v>0</v>
      </c>
      <c r="P58" s="75">
        <f t="shared" si="40"/>
        <v>0</v>
      </c>
      <c r="Q58" s="102">
        <f t="shared" si="41"/>
        <v>0</v>
      </c>
    </row>
    <row r="59" spans="4:17" s="56" customFormat="1" ht="12.75" x14ac:dyDescent="0.2">
      <c r="D59" s="63">
        <v>6</v>
      </c>
      <c r="E59" s="64">
        <v>28</v>
      </c>
      <c r="F59" s="65">
        <v>5</v>
      </c>
      <c r="G59" s="73">
        <v>1.18</v>
      </c>
      <c r="H59" s="66">
        <f t="shared" si="32"/>
        <v>33.04</v>
      </c>
      <c r="I59" s="101">
        <f t="shared" si="33"/>
        <v>0</v>
      </c>
      <c r="J59" s="75">
        <f t="shared" si="34"/>
        <v>5.2863999999999995</v>
      </c>
      <c r="K59" s="75">
        <f t="shared" si="35"/>
        <v>0</v>
      </c>
      <c r="L59" s="75">
        <f t="shared" si="36"/>
        <v>0</v>
      </c>
      <c r="M59" s="75">
        <f t="shared" si="37"/>
        <v>0</v>
      </c>
      <c r="N59" s="75">
        <f t="shared" si="38"/>
        <v>0</v>
      </c>
      <c r="O59" s="75">
        <f t="shared" si="39"/>
        <v>0</v>
      </c>
      <c r="P59" s="75">
        <f t="shared" si="40"/>
        <v>0</v>
      </c>
      <c r="Q59" s="102">
        <f t="shared" si="41"/>
        <v>0</v>
      </c>
    </row>
    <row r="60" spans="4:17" s="56" customFormat="1" ht="13.5" thickBot="1" x14ac:dyDescent="0.25">
      <c r="D60" s="70"/>
      <c r="E60" s="106"/>
      <c r="F60" s="107"/>
      <c r="G60" s="79"/>
      <c r="H60" s="66"/>
      <c r="I60" s="101"/>
      <c r="J60" s="75"/>
      <c r="K60" s="75"/>
      <c r="L60" s="75"/>
      <c r="M60" s="75"/>
      <c r="N60" s="75"/>
      <c r="O60" s="75"/>
      <c r="P60" s="75"/>
      <c r="Q60" s="102"/>
    </row>
    <row r="61" spans="4:17" s="56" customFormat="1" ht="15" customHeight="1" x14ac:dyDescent="0.2">
      <c r="D61" s="256" t="s">
        <v>36</v>
      </c>
      <c r="E61" s="257"/>
      <c r="F61" s="257"/>
      <c r="G61" s="257"/>
      <c r="H61" s="258"/>
      <c r="I61" s="96">
        <f>SUM(I62:I65)</f>
        <v>0</v>
      </c>
      <c r="J61" s="97">
        <f>SUM(J62:J65)</f>
        <v>3.0815999999999999</v>
      </c>
      <c r="K61" s="97">
        <f>SUM(K62:K65)</f>
        <v>0</v>
      </c>
      <c r="L61" s="97">
        <f>SUM(L62:L65)</f>
        <v>0</v>
      </c>
      <c r="M61" s="97">
        <f>SUM(M62:M65)</f>
        <v>5.8841999999999999</v>
      </c>
      <c r="N61" s="97">
        <f>SUM(N62:N65)</f>
        <v>0</v>
      </c>
      <c r="O61" s="97">
        <f>SUM(O62:O65)</f>
        <v>0</v>
      </c>
      <c r="P61" s="97">
        <f>SUM(P62:P65)</f>
        <v>0</v>
      </c>
      <c r="Q61" s="98">
        <f>SUM(Q62:Q65)</f>
        <v>0</v>
      </c>
    </row>
    <row r="62" spans="4:17" s="56" customFormat="1" ht="12.75" x14ac:dyDescent="0.2">
      <c r="D62" s="63">
        <v>1</v>
      </c>
      <c r="E62" s="64">
        <v>2</v>
      </c>
      <c r="F62" s="68">
        <v>10</v>
      </c>
      <c r="G62" s="73">
        <v>1.1499999999999999</v>
      </c>
      <c r="H62" s="66">
        <f t="shared" si="32"/>
        <v>2.2999999999999998</v>
      </c>
      <c r="I62" s="101">
        <f t="shared" si="33"/>
        <v>0</v>
      </c>
      <c r="J62" s="75">
        <f t="shared" si="34"/>
        <v>0</v>
      </c>
      <c r="K62" s="75">
        <f t="shared" si="35"/>
        <v>0</v>
      </c>
      <c r="L62" s="75">
        <f>IF($F62=8,$H62*$B$31,0)</f>
        <v>0</v>
      </c>
      <c r="M62" s="75">
        <f t="shared" si="37"/>
        <v>1.4489999999999998</v>
      </c>
      <c r="N62" s="75">
        <f t="shared" si="38"/>
        <v>0</v>
      </c>
      <c r="O62" s="75">
        <f t="shared" si="39"/>
        <v>0</v>
      </c>
      <c r="P62" s="75">
        <f t="shared" si="40"/>
        <v>0</v>
      </c>
      <c r="Q62" s="102">
        <f t="shared" si="41"/>
        <v>0</v>
      </c>
    </row>
    <row r="63" spans="4:17" s="56" customFormat="1" ht="12.75" x14ac:dyDescent="0.2">
      <c r="D63" s="63">
        <v>2</v>
      </c>
      <c r="E63" s="64">
        <v>2</v>
      </c>
      <c r="F63" s="68">
        <v>5</v>
      </c>
      <c r="G63" s="71">
        <v>2.5499999999999998</v>
      </c>
      <c r="H63" s="66">
        <f t="shared" si="32"/>
        <v>5.0999999999999996</v>
      </c>
      <c r="I63" s="101">
        <f t="shared" si="33"/>
        <v>0</v>
      </c>
      <c r="J63" s="75">
        <f t="shared" si="34"/>
        <v>0.81599999999999995</v>
      </c>
      <c r="K63" s="75">
        <f t="shared" si="35"/>
        <v>0</v>
      </c>
      <c r="L63" s="75">
        <f t="shared" ref="L63:L83" si="42">IF($F63=8,$H63*$B$31,0)</f>
        <v>0</v>
      </c>
      <c r="M63" s="75">
        <f t="shared" si="37"/>
        <v>0</v>
      </c>
      <c r="N63" s="75">
        <f t="shared" si="38"/>
        <v>0</v>
      </c>
      <c r="O63" s="75">
        <f t="shared" si="39"/>
        <v>0</v>
      </c>
      <c r="P63" s="75">
        <f t="shared" si="40"/>
        <v>0</v>
      </c>
      <c r="Q63" s="102">
        <f t="shared" si="41"/>
        <v>0</v>
      </c>
    </row>
    <row r="64" spans="4:17" s="56" customFormat="1" ht="12.75" x14ac:dyDescent="0.2">
      <c r="D64" s="63">
        <v>3</v>
      </c>
      <c r="E64" s="64">
        <v>2</v>
      </c>
      <c r="F64" s="68">
        <v>10</v>
      </c>
      <c r="G64" s="71">
        <v>3.52</v>
      </c>
      <c r="H64" s="66">
        <f t="shared" si="32"/>
        <v>7.04</v>
      </c>
      <c r="I64" s="101">
        <f t="shared" si="33"/>
        <v>0</v>
      </c>
      <c r="J64" s="75">
        <f t="shared" si="34"/>
        <v>0</v>
      </c>
      <c r="K64" s="75">
        <f t="shared" si="35"/>
        <v>0</v>
      </c>
      <c r="L64" s="75">
        <f t="shared" si="42"/>
        <v>0</v>
      </c>
      <c r="M64" s="75">
        <f t="shared" si="37"/>
        <v>4.4352</v>
      </c>
      <c r="N64" s="75">
        <f t="shared" si="38"/>
        <v>0</v>
      </c>
      <c r="O64" s="75">
        <f t="shared" si="39"/>
        <v>0</v>
      </c>
      <c r="P64" s="75">
        <f t="shared" si="40"/>
        <v>0</v>
      </c>
      <c r="Q64" s="102">
        <f t="shared" si="41"/>
        <v>0</v>
      </c>
    </row>
    <row r="65" spans="4:17" s="56" customFormat="1" ht="12.75" x14ac:dyDescent="0.2">
      <c r="D65" s="63">
        <v>4</v>
      </c>
      <c r="E65" s="64">
        <v>12</v>
      </c>
      <c r="F65" s="68">
        <v>5</v>
      </c>
      <c r="G65" s="71">
        <v>1.18</v>
      </c>
      <c r="H65" s="66">
        <f t="shared" si="32"/>
        <v>14.16</v>
      </c>
      <c r="I65" s="101">
        <f t="shared" si="33"/>
        <v>0</v>
      </c>
      <c r="J65" s="75">
        <f t="shared" si="34"/>
        <v>2.2656000000000001</v>
      </c>
      <c r="K65" s="75">
        <f t="shared" si="35"/>
        <v>0</v>
      </c>
      <c r="L65" s="75">
        <f t="shared" si="42"/>
        <v>0</v>
      </c>
      <c r="M65" s="75">
        <f t="shared" si="37"/>
        <v>0</v>
      </c>
      <c r="N65" s="75">
        <f t="shared" si="38"/>
        <v>0</v>
      </c>
      <c r="O65" s="75">
        <f t="shared" si="39"/>
        <v>0</v>
      </c>
      <c r="P65" s="75">
        <f t="shared" si="40"/>
        <v>0</v>
      </c>
      <c r="Q65" s="102">
        <f t="shared" si="41"/>
        <v>0</v>
      </c>
    </row>
    <row r="66" spans="4:17" s="56" customFormat="1" ht="13.5" thickBot="1" x14ac:dyDescent="0.25">
      <c r="D66" s="70"/>
      <c r="E66" s="106"/>
      <c r="F66" s="107"/>
      <c r="G66" s="79"/>
      <c r="H66" s="66"/>
      <c r="I66" s="101"/>
      <c r="J66" s="75"/>
      <c r="K66" s="75"/>
      <c r="L66" s="75"/>
      <c r="M66" s="75"/>
      <c r="N66" s="75"/>
      <c r="O66" s="75"/>
      <c r="P66" s="75"/>
      <c r="Q66" s="102"/>
    </row>
    <row r="67" spans="4:17" s="56" customFormat="1" ht="15" customHeight="1" x14ac:dyDescent="0.2">
      <c r="D67" s="256" t="s">
        <v>37</v>
      </c>
      <c r="E67" s="257"/>
      <c r="F67" s="257"/>
      <c r="G67" s="257"/>
      <c r="H67" s="258"/>
      <c r="I67" s="96">
        <f>SUM(I68:I72)</f>
        <v>0</v>
      </c>
      <c r="J67" s="97">
        <f>SUM(J68:J72)</f>
        <v>4.8415999999999997</v>
      </c>
      <c r="K67" s="97">
        <f>SUM(K68:K72)</f>
        <v>0</v>
      </c>
      <c r="L67" s="97">
        <f>SUM(L68:L72)</f>
        <v>5.2240000000000002</v>
      </c>
      <c r="M67" s="97">
        <f>SUM(M68:M72)</f>
        <v>5.5440000000000005</v>
      </c>
      <c r="N67" s="97">
        <f>SUM(N68:N72)</f>
        <v>0</v>
      </c>
      <c r="O67" s="97">
        <f>SUM(O68:O72)</f>
        <v>0</v>
      </c>
      <c r="P67" s="97">
        <f>SUM(P68:P72)</f>
        <v>0</v>
      </c>
      <c r="Q67" s="98">
        <f>SUM(Q68:Q72)</f>
        <v>0</v>
      </c>
    </row>
    <row r="68" spans="4:17" s="56" customFormat="1" ht="12.75" x14ac:dyDescent="0.2">
      <c r="D68" s="63">
        <v>1</v>
      </c>
      <c r="E68" s="64">
        <v>2</v>
      </c>
      <c r="F68" s="68">
        <v>5</v>
      </c>
      <c r="G68" s="73">
        <v>0.95</v>
      </c>
      <c r="H68" s="66">
        <f t="shared" si="32"/>
        <v>1.9</v>
      </c>
      <c r="I68" s="101">
        <f t="shared" si="33"/>
        <v>0</v>
      </c>
      <c r="J68" s="75">
        <f t="shared" si="34"/>
        <v>0.30399999999999999</v>
      </c>
      <c r="K68" s="75">
        <f t="shared" si="35"/>
        <v>0</v>
      </c>
      <c r="L68" s="75">
        <f t="shared" si="42"/>
        <v>0</v>
      </c>
      <c r="M68" s="75">
        <f t="shared" si="37"/>
        <v>0</v>
      </c>
      <c r="N68" s="75">
        <f t="shared" si="38"/>
        <v>0</v>
      </c>
      <c r="O68" s="75">
        <f t="shared" si="39"/>
        <v>0</v>
      </c>
      <c r="P68" s="75">
        <f t="shared" si="40"/>
        <v>0</v>
      </c>
      <c r="Q68" s="102">
        <f t="shared" si="41"/>
        <v>0</v>
      </c>
    </row>
    <row r="69" spans="4:17" s="56" customFormat="1" ht="12.75" x14ac:dyDescent="0.2">
      <c r="D69" s="63">
        <v>2</v>
      </c>
      <c r="E69" s="64">
        <v>2</v>
      </c>
      <c r="F69" s="68">
        <v>10</v>
      </c>
      <c r="G69" s="71">
        <v>4.4000000000000004</v>
      </c>
      <c r="H69" s="66">
        <f t="shared" si="32"/>
        <v>8.8000000000000007</v>
      </c>
      <c r="I69" s="101">
        <f t="shared" si="33"/>
        <v>0</v>
      </c>
      <c r="J69" s="75">
        <f t="shared" si="34"/>
        <v>0</v>
      </c>
      <c r="K69" s="75">
        <f t="shared" si="35"/>
        <v>0</v>
      </c>
      <c r="L69" s="75">
        <f t="shared" si="42"/>
        <v>0</v>
      </c>
      <c r="M69" s="75">
        <f t="shared" si="37"/>
        <v>5.5440000000000005</v>
      </c>
      <c r="N69" s="75">
        <f t="shared" si="38"/>
        <v>0</v>
      </c>
      <c r="O69" s="75">
        <f t="shared" si="39"/>
        <v>0</v>
      </c>
      <c r="P69" s="75">
        <f t="shared" si="40"/>
        <v>0</v>
      </c>
      <c r="Q69" s="102">
        <f t="shared" si="41"/>
        <v>0</v>
      </c>
    </row>
    <row r="70" spans="4:17" s="56" customFormat="1" ht="12.75" x14ac:dyDescent="0.2">
      <c r="D70" s="63">
        <v>3</v>
      </c>
      <c r="E70" s="64">
        <v>2</v>
      </c>
      <c r="F70" s="68">
        <v>5</v>
      </c>
      <c r="G70" s="71">
        <v>1.3</v>
      </c>
      <c r="H70" s="66">
        <f t="shared" si="32"/>
        <v>2.6</v>
      </c>
      <c r="I70" s="101">
        <f t="shared" si="33"/>
        <v>0</v>
      </c>
      <c r="J70" s="75">
        <f t="shared" si="34"/>
        <v>0.41600000000000004</v>
      </c>
      <c r="K70" s="75">
        <f t="shared" si="35"/>
        <v>0</v>
      </c>
      <c r="L70" s="75">
        <f t="shared" si="42"/>
        <v>0</v>
      </c>
      <c r="M70" s="75">
        <f t="shared" si="37"/>
        <v>0</v>
      </c>
      <c r="N70" s="75">
        <f t="shared" si="38"/>
        <v>0</v>
      </c>
      <c r="O70" s="75">
        <f t="shared" si="39"/>
        <v>0</v>
      </c>
      <c r="P70" s="75">
        <f t="shared" si="40"/>
        <v>0</v>
      </c>
      <c r="Q70" s="102">
        <f t="shared" si="41"/>
        <v>0</v>
      </c>
    </row>
    <row r="71" spans="4:17" s="56" customFormat="1" ht="12.75" x14ac:dyDescent="0.2">
      <c r="D71" s="63">
        <v>4</v>
      </c>
      <c r="E71" s="64">
        <v>2</v>
      </c>
      <c r="F71" s="68">
        <v>8</v>
      </c>
      <c r="G71" s="71">
        <v>6.53</v>
      </c>
      <c r="H71" s="66">
        <f t="shared" si="32"/>
        <v>13.06</v>
      </c>
      <c r="I71" s="101">
        <f t="shared" si="33"/>
        <v>0</v>
      </c>
      <c r="J71" s="75">
        <f t="shared" si="34"/>
        <v>0</v>
      </c>
      <c r="K71" s="75">
        <f t="shared" si="35"/>
        <v>0</v>
      </c>
      <c r="L71" s="75">
        <f t="shared" si="42"/>
        <v>5.2240000000000002</v>
      </c>
      <c r="M71" s="75">
        <f t="shared" si="37"/>
        <v>0</v>
      </c>
      <c r="N71" s="75">
        <f t="shared" si="38"/>
        <v>0</v>
      </c>
      <c r="O71" s="75">
        <f t="shared" si="39"/>
        <v>0</v>
      </c>
      <c r="P71" s="75">
        <f t="shared" si="40"/>
        <v>0</v>
      </c>
      <c r="Q71" s="102">
        <f t="shared" si="41"/>
        <v>0</v>
      </c>
    </row>
    <row r="72" spans="4:17" s="56" customFormat="1" ht="12.75" x14ac:dyDescent="0.2">
      <c r="D72" s="63">
        <v>5</v>
      </c>
      <c r="E72" s="64">
        <v>28</v>
      </c>
      <c r="F72" s="68">
        <v>5</v>
      </c>
      <c r="G72" s="71">
        <v>0.92</v>
      </c>
      <c r="H72" s="66">
        <f t="shared" si="32"/>
        <v>25.76</v>
      </c>
      <c r="I72" s="101">
        <f t="shared" si="33"/>
        <v>0</v>
      </c>
      <c r="J72" s="75">
        <f t="shared" si="34"/>
        <v>4.1215999999999999</v>
      </c>
      <c r="K72" s="75">
        <f t="shared" si="35"/>
        <v>0</v>
      </c>
      <c r="L72" s="75">
        <f t="shared" si="42"/>
        <v>0</v>
      </c>
      <c r="M72" s="75">
        <f t="shared" si="37"/>
        <v>0</v>
      </c>
      <c r="N72" s="75">
        <f t="shared" si="38"/>
        <v>0</v>
      </c>
      <c r="O72" s="75">
        <f t="shared" si="39"/>
        <v>0</v>
      </c>
      <c r="P72" s="75">
        <f t="shared" si="40"/>
        <v>0</v>
      </c>
      <c r="Q72" s="102">
        <f t="shared" si="41"/>
        <v>0</v>
      </c>
    </row>
    <row r="73" spans="4:17" s="56" customFormat="1" ht="13.5" thickBot="1" x14ac:dyDescent="0.25">
      <c r="D73" s="70"/>
      <c r="E73" s="106"/>
      <c r="F73" s="76"/>
      <c r="G73" s="77"/>
      <c r="H73" s="66"/>
      <c r="I73" s="101"/>
      <c r="J73" s="75"/>
      <c r="K73" s="75"/>
      <c r="L73" s="75"/>
      <c r="M73" s="75"/>
      <c r="N73" s="75"/>
      <c r="O73" s="75"/>
      <c r="P73" s="75"/>
      <c r="Q73" s="102"/>
    </row>
    <row r="74" spans="4:17" s="56" customFormat="1" ht="15" customHeight="1" x14ac:dyDescent="0.2">
      <c r="D74" s="256" t="s">
        <v>38</v>
      </c>
      <c r="E74" s="257"/>
      <c r="F74" s="257"/>
      <c r="G74" s="257"/>
      <c r="H74" s="258"/>
      <c r="I74" s="96">
        <f>SUM(I75:I83)</f>
        <v>0</v>
      </c>
      <c r="J74" s="97">
        <f t="shared" ref="J74:Q74" si="43">SUM(J75:J83)</f>
        <v>12.080000000000002</v>
      </c>
      <c r="K74" s="97">
        <f t="shared" si="43"/>
        <v>0.875</v>
      </c>
      <c r="L74" s="97">
        <f t="shared" si="43"/>
        <v>6.5200000000000005</v>
      </c>
      <c r="M74" s="97">
        <f t="shared" si="43"/>
        <v>12.058199999999999</v>
      </c>
      <c r="N74" s="97">
        <f t="shared" si="43"/>
        <v>8.6999999999999993</v>
      </c>
      <c r="O74" s="97">
        <f t="shared" si="43"/>
        <v>0</v>
      </c>
      <c r="P74" s="97">
        <f t="shared" si="43"/>
        <v>0</v>
      </c>
      <c r="Q74" s="98">
        <f t="shared" si="43"/>
        <v>0</v>
      </c>
    </row>
    <row r="75" spans="4:17" s="56" customFormat="1" ht="12.75" x14ac:dyDescent="0.2">
      <c r="D75" s="63">
        <v>1</v>
      </c>
      <c r="E75" s="64">
        <v>2</v>
      </c>
      <c r="F75" s="65">
        <v>8</v>
      </c>
      <c r="G75" s="73">
        <v>1.6</v>
      </c>
      <c r="H75" s="66">
        <f t="shared" si="32"/>
        <v>3.2</v>
      </c>
      <c r="I75" s="101">
        <f t="shared" si="33"/>
        <v>0</v>
      </c>
      <c r="J75" s="75">
        <f t="shared" si="34"/>
        <v>0</v>
      </c>
      <c r="K75" s="75">
        <f>IF($F75=6.3,$H75*$B$30,0)</f>
        <v>0</v>
      </c>
      <c r="L75" s="75">
        <f t="shared" si="42"/>
        <v>1.2800000000000002</v>
      </c>
      <c r="M75" s="75">
        <f t="shared" si="37"/>
        <v>0</v>
      </c>
      <c r="N75" s="75">
        <f t="shared" si="38"/>
        <v>0</v>
      </c>
      <c r="O75" s="75">
        <f t="shared" si="39"/>
        <v>0</v>
      </c>
      <c r="P75" s="75">
        <f t="shared" si="40"/>
        <v>0</v>
      </c>
      <c r="Q75" s="102">
        <f t="shared" si="41"/>
        <v>0</v>
      </c>
    </row>
    <row r="76" spans="4:17" s="56" customFormat="1" ht="12.75" x14ac:dyDescent="0.2">
      <c r="D76" s="63">
        <v>2</v>
      </c>
      <c r="E76" s="67">
        <v>2</v>
      </c>
      <c r="F76" s="68">
        <v>5</v>
      </c>
      <c r="G76" s="71">
        <v>3.2</v>
      </c>
      <c r="H76" s="66">
        <f t="shared" si="32"/>
        <v>6.4</v>
      </c>
      <c r="I76" s="101">
        <f t="shared" si="33"/>
        <v>0</v>
      </c>
      <c r="J76" s="75">
        <f t="shared" si="34"/>
        <v>1.024</v>
      </c>
      <c r="K76" s="75">
        <f t="shared" si="35"/>
        <v>0</v>
      </c>
      <c r="L76" s="75">
        <f t="shared" si="42"/>
        <v>0</v>
      </c>
      <c r="M76" s="75">
        <f t="shared" si="37"/>
        <v>0</v>
      </c>
      <c r="N76" s="75">
        <f t="shared" si="38"/>
        <v>0</v>
      </c>
      <c r="O76" s="75">
        <f t="shared" si="39"/>
        <v>0</v>
      </c>
      <c r="P76" s="75">
        <f t="shared" si="40"/>
        <v>0</v>
      </c>
      <c r="Q76" s="102">
        <f t="shared" si="41"/>
        <v>0</v>
      </c>
    </row>
    <row r="77" spans="4:17" s="56" customFormat="1" ht="12.75" x14ac:dyDescent="0.2">
      <c r="D77" s="63">
        <v>3</v>
      </c>
      <c r="E77" s="67">
        <v>2</v>
      </c>
      <c r="F77" s="68">
        <v>12.5</v>
      </c>
      <c r="G77" s="71">
        <v>4.3499999999999996</v>
      </c>
      <c r="H77" s="66">
        <f t="shared" si="32"/>
        <v>8.6999999999999993</v>
      </c>
      <c r="I77" s="101">
        <f t="shared" si="33"/>
        <v>0</v>
      </c>
      <c r="J77" s="75">
        <f t="shared" si="34"/>
        <v>0</v>
      </c>
      <c r="K77" s="75">
        <f t="shared" si="35"/>
        <v>0</v>
      </c>
      <c r="L77" s="75">
        <f t="shared" si="42"/>
        <v>0</v>
      </c>
      <c r="M77" s="75">
        <f t="shared" si="37"/>
        <v>0</v>
      </c>
      <c r="N77" s="75">
        <f t="shared" si="38"/>
        <v>8.6999999999999993</v>
      </c>
      <c r="O77" s="75">
        <f t="shared" si="39"/>
        <v>0</v>
      </c>
      <c r="P77" s="75">
        <f t="shared" si="40"/>
        <v>0</v>
      </c>
      <c r="Q77" s="102">
        <f t="shared" si="41"/>
        <v>0</v>
      </c>
    </row>
    <row r="78" spans="4:17" s="56" customFormat="1" ht="12.75" x14ac:dyDescent="0.2">
      <c r="D78" s="63">
        <v>4</v>
      </c>
      <c r="E78" s="67">
        <v>2</v>
      </c>
      <c r="F78" s="68">
        <v>5</v>
      </c>
      <c r="G78" s="71">
        <v>3.75</v>
      </c>
      <c r="H78" s="66">
        <f t="shared" si="32"/>
        <v>7.5</v>
      </c>
      <c r="I78" s="101">
        <f t="shared" si="33"/>
        <v>0</v>
      </c>
      <c r="J78" s="75">
        <f t="shared" si="34"/>
        <v>1.2</v>
      </c>
      <c r="K78" s="75">
        <f t="shared" si="35"/>
        <v>0</v>
      </c>
      <c r="L78" s="75">
        <f t="shared" si="42"/>
        <v>0</v>
      </c>
      <c r="M78" s="75">
        <f t="shared" si="37"/>
        <v>0</v>
      </c>
      <c r="N78" s="75">
        <f t="shared" si="38"/>
        <v>0</v>
      </c>
      <c r="O78" s="75">
        <f t="shared" si="39"/>
        <v>0</v>
      </c>
      <c r="P78" s="75">
        <f t="shared" si="40"/>
        <v>0</v>
      </c>
      <c r="Q78" s="102">
        <f t="shared" si="41"/>
        <v>0</v>
      </c>
    </row>
    <row r="79" spans="4:17" s="56" customFormat="1" ht="12.75" x14ac:dyDescent="0.2">
      <c r="D79" s="63">
        <v>5</v>
      </c>
      <c r="E79" s="67">
        <v>2</v>
      </c>
      <c r="F79" s="68">
        <v>10</v>
      </c>
      <c r="G79" s="71">
        <v>1.95</v>
      </c>
      <c r="H79" s="66">
        <f t="shared" si="32"/>
        <v>3.9</v>
      </c>
      <c r="I79" s="101">
        <f t="shared" si="33"/>
        <v>0</v>
      </c>
      <c r="J79" s="75">
        <f t="shared" si="34"/>
        <v>0</v>
      </c>
      <c r="K79" s="75">
        <f t="shared" si="35"/>
        <v>0</v>
      </c>
      <c r="L79" s="75">
        <f t="shared" si="42"/>
        <v>0</v>
      </c>
      <c r="M79" s="75">
        <f t="shared" si="37"/>
        <v>2.4569999999999999</v>
      </c>
      <c r="N79" s="75">
        <f t="shared" si="38"/>
        <v>0</v>
      </c>
      <c r="O79" s="75">
        <f t="shared" si="39"/>
        <v>0</v>
      </c>
      <c r="P79" s="75">
        <f t="shared" si="40"/>
        <v>0</v>
      </c>
      <c r="Q79" s="102">
        <f t="shared" si="41"/>
        <v>0</v>
      </c>
    </row>
    <row r="80" spans="4:17" s="56" customFormat="1" ht="12.75" x14ac:dyDescent="0.2">
      <c r="D80" s="63">
        <v>6</v>
      </c>
      <c r="E80" s="67">
        <v>2</v>
      </c>
      <c r="F80" s="68">
        <v>8</v>
      </c>
      <c r="G80" s="71">
        <v>6.55</v>
      </c>
      <c r="H80" s="66">
        <f t="shared" ref="H80:H81" si="44">E80*G80</f>
        <v>13.1</v>
      </c>
      <c r="I80" s="101">
        <f t="shared" ref="I80:I81" si="45">IF($F80=4.2,H80*$B$28,0)</f>
        <v>0</v>
      </c>
      <c r="J80" s="75">
        <f t="shared" si="34"/>
        <v>0</v>
      </c>
      <c r="K80" s="75">
        <f t="shared" si="35"/>
        <v>0</v>
      </c>
      <c r="L80" s="75">
        <f t="shared" si="42"/>
        <v>5.24</v>
      </c>
      <c r="M80" s="75">
        <f t="shared" si="37"/>
        <v>0</v>
      </c>
      <c r="N80" s="75">
        <f t="shared" si="38"/>
        <v>0</v>
      </c>
      <c r="O80" s="75">
        <f t="shared" si="39"/>
        <v>0</v>
      </c>
      <c r="P80" s="75">
        <f t="shared" si="40"/>
        <v>0</v>
      </c>
      <c r="Q80" s="102">
        <f t="shared" si="41"/>
        <v>0</v>
      </c>
    </row>
    <row r="81" spans="2:17" s="56" customFormat="1" ht="12.75" x14ac:dyDescent="0.2">
      <c r="D81" s="63">
        <v>7</v>
      </c>
      <c r="E81" s="67">
        <v>2</v>
      </c>
      <c r="F81" s="68">
        <v>10</v>
      </c>
      <c r="G81" s="71">
        <v>7.62</v>
      </c>
      <c r="H81" s="66">
        <f t="shared" si="44"/>
        <v>15.24</v>
      </c>
      <c r="I81" s="101">
        <f t="shared" si="45"/>
        <v>0</v>
      </c>
      <c r="J81" s="75">
        <f t="shared" si="34"/>
        <v>0</v>
      </c>
      <c r="K81" s="75">
        <f t="shared" si="35"/>
        <v>0</v>
      </c>
      <c r="L81" s="75">
        <f t="shared" si="42"/>
        <v>0</v>
      </c>
      <c r="M81" s="75">
        <f t="shared" si="37"/>
        <v>9.6012000000000004</v>
      </c>
      <c r="N81" s="75">
        <f t="shared" si="38"/>
        <v>0</v>
      </c>
      <c r="O81" s="75">
        <f t="shared" si="39"/>
        <v>0</v>
      </c>
      <c r="P81" s="75">
        <f t="shared" si="40"/>
        <v>0</v>
      </c>
      <c r="Q81" s="102">
        <f t="shared" si="41"/>
        <v>0</v>
      </c>
    </row>
    <row r="82" spans="2:17" s="56" customFormat="1" ht="12.75" x14ac:dyDescent="0.2">
      <c r="D82" s="63">
        <v>8</v>
      </c>
      <c r="E82" s="67">
        <v>1</v>
      </c>
      <c r="F82" s="68">
        <v>6.3</v>
      </c>
      <c r="G82" s="71">
        <v>3.5</v>
      </c>
      <c r="H82" s="66">
        <f t="shared" si="32"/>
        <v>3.5</v>
      </c>
      <c r="I82" s="101">
        <f t="shared" si="33"/>
        <v>0</v>
      </c>
      <c r="J82" s="75">
        <f t="shared" si="34"/>
        <v>0</v>
      </c>
      <c r="K82" s="75">
        <f t="shared" si="35"/>
        <v>0.875</v>
      </c>
      <c r="L82" s="75">
        <f t="shared" si="42"/>
        <v>0</v>
      </c>
      <c r="M82" s="75">
        <f t="shared" si="37"/>
        <v>0</v>
      </c>
      <c r="N82" s="75">
        <f t="shared" si="38"/>
        <v>0</v>
      </c>
      <c r="O82" s="75">
        <f t="shared" si="39"/>
        <v>0</v>
      </c>
      <c r="P82" s="75">
        <f t="shared" si="40"/>
        <v>0</v>
      </c>
      <c r="Q82" s="102">
        <f t="shared" si="41"/>
        <v>0</v>
      </c>
    </row>
    <row r="83" spans="2:17" s="56" customFormat="1" ht="12.75" x14ac:dyDescent="0.2">
      <c r="D83" s="63">
        <v>9</v>
      </c>
      <c r="E83" s="67">
        <v>55</v>
      </c>
      <c r="F83" s="68">
        <v>5</v>
      </c>
      <c r="G83" s="71">
        <v>1.1200000000000001</v>
      </c>
      <c r="H83" s="66">
        <f t="shared" si="32"/>
        <v>61.600000000000009</v>
      </c>
      <c r="I83" s="101">
        <f t="shared" si="33"/>
        <v>0</v>
      </c>
      <c r="J83" s="75">
        <f t="shared" si="34"/>
        <v>9.8560000000000016</v>
      </c>
      <c r="K83" s="75">
        <f t="shared" si="35"/>
        <v>0</v>
      </c>
      <c r="L83" s="75">
        <f t="shared" si="42"/>
        <v>0</v>
      </c>
      <c r="M83" s="75">
        <f t="shared" si="37"/>
        <v>0</v>
      </c>
      <c r="N83" s="75">
        <f t="shared" si="38"/>
        <v>0</v>
      </c>
      <c r="O83" s="75">
        <f t="shared" si="39"/>
        <v>0</v>
      </c>
      <c r="P83" s="75">
        <f t="shared" si="40"/>
        <v>0</v>
      </c>
      <c r="Q83" s="102">
        <f t="shared" si="41"/>
        <v>0</v>
      </c>
    </row>
    <row r="84" spans="2:17" s="56" customFormat="1" ht="12.75" x14ac:dyDescent="0.2">
      <c r="D84" s="63"/>
      <c r="E84" s="67"/>
      <c r="F84" s="68"/>
      <c r="G84" s="71"/>
      <c r="H84" s="66"/>
      <c r="I84" s="99"/>
      <c r="J84" s="72"/>
      <c r="K84" s="72"/>
      <c r="L84" s="72"/>
      <c r="M84" s="72"/>
      <c r="N84" s="72"/>
      <c r="O84" s="72"/>
      <c r="P84" s="72"/>
      <c r="Q84" s="84"/>
    </row>
    <row r="85" spans="2:17" s="56" customFormat="1" ht="13.5" thickBot="1" x14ac:dyDescent="0.25">
      <c r="D85" s="112"/>
      <c r="E85" s="113"/>
      <c r="F85" s="114"/>
      <c r="G85" s="115"/>
      <c r="H85" s="115"/>
      <c r="I85" s="74"/>
      <c r="J85" s="74"/>
      <c r="K85" s="74"/>
      <c r="L85" s="74"/>
      <c r="M85" s="74"/>
      <c r="N85" s="74"/>
      <c r="O85" s="74"/>
      <c r="P85" s="74"/>
      <c r="Q85" s="111"/>
    </row>
    <row r="86" spans="2:17" s="56" customFormat="1" ht="15.75" customHeight="1" thickBot="1" x14ac:dyDescent="0.25">
      <c r="D86" s="259" t="s">
        <v>55</v>
      </c>
      <c r="E86" s="260"/>
      <c r="F86" s="260"/>
      <c r="G86" s="260"/>
      <c r="H86" s="260"/>
      <c r="I86" s="80">
        <f>SUM(I29:I84)/2</f>
        <v>0</v>
      </c>
      <c r="J86" s="80">
        <f>SUM(J29:J84)/2</f>
        <v>42.400000000000006</v>
      </c>
      <c r="K86" s="80">
        <f>SUM(K29:K84)/2</f>
        <v>3.9375</v>
      </c>
      <c r="L86" s="80">
        <f>SUM(L29:L84)/2</f>
        <v>39.64</v>
      </c>
      <c r="M86" s="80">
        <f>SUM(M29:M84)/2</f>
        <v>42.386399999999995</v>
      </c>
      <c r="N86" s="80">
        <f>SUM(N29:N84)/2</f>
        <v>8.6999999999999993</v>
      </c>
      <c r="O86" s="80">
        <f>SUM(O29:O84)/2</f>
        <v>0</v>
      </c>
      <c r="P86" s="80">
        <f>SUM(P29:P84)/2</f>
        <v>0</v>
      </c>
      <c r="Q86" s="80">
        <f>SUM(Q29:Q84)/2</f>
        <v>0</v>
      </c>
    </row>
    <row r="87" spans="2:17" s="56" customFormat="1" ht="13.5" thickTop="1" x14ac:dyDescent="0.2"/>
    <row r="88" spans="2:17" s="56" customFormat="1" ht="13.5" thickBot="1" x14ac:dyDescent="0.25"/>
    <row r="89" spans="2:17" s="56" customFormat="1" ht="14.25" thickTop="1" thickBot="1" x14ac:dyDescent="0.25">
      <c r="D89" s="237" t="s">
        <v>41</v>
      </c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9"/>
    </row>
    <row r="90" spans="2:17" s="56" customFormat="1" ht="13.5" thickBot="1" x14ac:dyDescent="0.25">
      <c r="D90" s="240" t="str">
        <f>D8</f>
        <v>Obra: REFORMA E AMPLIAÇÃO DA UNIDADE EDUCACIONAL DE PRODUÇÃO - UEP - CAMPUS LÁBREA</v>
      </c>
      <c r="E90" s="241"/>
      <c r="F90" s="241"/>
      <c r="G90" s="241"/>
      <c r="H90" s="241"/>
      <c r="I90" s="241"/>
      <c r="J90" s="241"/>
      <c r="K90" s="241"/>
      <c r="L90" s="241"/>
      <c r="M90" s="241"/>
      <c r="N90" s="241"/>
      <c r="O90" s="241"/>
      <c r="P90" s="241"/>
      <c r="Q90" s="242"/>
    </row>
    <row r="91" spans="2:17" s="56" customFormat="1" ht="13.5" thickBot="1" x14ac:dyDescent="0.25">
      <c r="D91" s="243" t="s">
        <v>39</v>
      </c>
      <c r="E91" s="244"/>
      <c r="F91" s="244"/>
      <c r="G91" s="244"/>
      <c r="H91" s="244"/>
      <c r="I91" s="244"/>
      <c r="J91" s="244"/>
      <c r="K91" s="245"/>
      <c r="L91" s="246"/>
      <c r="M91" s="246"/>
      <c r="N91" s="246"/>
      <c r="O91" s="246"/>
      <c r="P91" s="246"/>
      <c r="Q91" s="247"/>
    </row>
    <row r="92" spans="2:17" s="56" customFormat="1" ht="15" customHeight="1" x14ac:dyDescent="0.2">
      <c r="D92" s="277" t="s">
        <v>27</v>
      </c>
      <c r="E92" s="278"/>
      <c r="F92" s="278"/>
      <c r="G92" s="278"/>
      <c r="H92" s="278"/>
      <c r="I92" s="248" t="s">
        <v>28</v>
      </c>
      <c r="J92" s="249"/>
      <c r="K92" s="249"/>
      <c r="L92" s="249"/>
      <c r="M92" s="249"/>
      <c r="N92" s="249"/>
      <c r="O92" s="249"/>
      <c r="P92" s="249"/>
      <c r="Q92" s="250"/>
    </row>
    <row r="93" spans="2:17" s="56" customFormat="1" ht="13.5" thickBot="1" x14ac:dyDescent="0.25">
      <c r="D93" s="57" t="s">
        <v>29</v>
      </c>
      <c r="E93" s="58" t="s">
        <v>30</v>
      </c>
      <c r="F93" s="58" t="s">
        <v>31</v>
      </c>
      <c r="G93" s="103" t="s">
        <v>51</v>
      </c>
      <c r="H93" s="104" t="s">
        <v>52</v>
      </c>
      <c r="I93" s="92">
        <v>4.2</v>
      </c>
      <c r="J93" s="61">
        <v>5</v>
      </c>
      <c r="K93" s="61">
        <v>6.3</v>
      </c>
      <c r="L93" s="61">
        <v>8</v>
      </c>
      <c r="M93" s="61">
        <v>10</v>
      </c>
      <c r="N93" s="61">
        <v>12.5</v>
      </c>
      <c r="O93" s="61">
        <v>16</v>
      </c>
      <c r="P93" s="61">
        <v>20</v>
      </c>
      <c r="Q93" s="62">
        <v>25</v>
      </c>
    </row>
    <row r="94" spans="2:17" s="56" customFormat="1" ht="13.5" thickBot="1" x14ac:dyDescent="0.25">
      <c r="B94" s="78"/>
      <c r="D94" s="254"/>
      <c r="E94" s="255"/>
      <c r="F94" s="255"/>
      <c r="G94" s="255"/>
      <c r="H94" s="105"/>
      <c r="I94" s="93"/>
      <c r="J94" s="94"/>
      <c r="K94" s="94"/>
      <c r="L94" s="94"/>
      <c r="M94" s="94"/>
      <c r="N94" s="94"/>
      <c r="O94" s="94"/>
      <c r="P94" s="94"/>
      <c r="Q94" s="95"/>
    </row>
    <row r="95" spans="2:17" s="56" customFormat="1" ht="15" customHeight="1" x14ac:dyDescent="0.2">
      <c r="B95" s="78"/>
      <c r="C95" s="78"/>
      <c r="D95" s="251" t="s">
        <v>32</v>
      </c>
      <c r="E95" s="252"/>
      <c r="F95" s="252"/>
      <c r="G95" s="252"/>
      <c r="H95" s="253"/>
      <c r="I95" s="96">
        <f>SUM(I96:I101)</f>
        <v>0</v>
      </c>
      <c r="J95" s="97">
        <f>SUM(J96:J101)</f>
        <v>6.7712000000000003</v>
      </c>
      <c r="K95" s="97">
        <f>SUM(K96:K101)</f>
        <v>0</v>
      </c>
      <c r="L95" s="97">
        <f>SUM(L96:L101)</f>
        <v>11.788</v>
      </c>
      <c r="M95" s="97">
        <f>SUM(M96:M101)</f>
        <v>0</v>
      </c>
      <c r="N95" s="97">
        <f>SUM(N96:N101)</f>
        <v>0</v>
      </c>
      <c r="O95" s="97">
        <f>SUM(O96:O101)</f>
        <v>0</v>
      </c>
      <c r="P95" s="97">
        <f>SUM(P96:P101)</f>
        <v>0</v>
      </c>
      <c r="Q95" s="98">
        <f>SUM(Q96:Q101)</f>
        <v>0</v>
      </c>
    </row>
    <row r="96" spans="2:17" s="56" customFormat="1" ht="12.75" x14ac:dyDescent="0.2">
      <c r="B96" s="78"/>
      <c r="C96" s="78"/>
      <c r="D96" s="63">
        <v>1</v>
      </c>
      <c r="E96" s="64">
        <v>2</v>
      </c>
      <c r="F96" s="65">
        <v>8</v>
      </c>
      <c r="G96" s="73">
        <v>1.95</v>
      </c>
      <c r="H96" s="66">
        <f>E96*G96</f>
        <v>3.9</v>
      </c>
      <c r="I96" s="99">
        <f t="shared" ref="I96:I101" si="46">IF($F96=4.2,H96*$B$28,0)</f>
        <v>0</v>
      </c>
      <c r="J96" s="72">
        <f t="shared" ref="J96:J101" si="47">IF($F96=5,$H96*$B$29,0)</f>
        <v>0</v>
      </c>
      <c r="K96" s="72">
        <f t="shared" ref="K96:K101" si="48">IF($F96=6.3,$H96*$B$30,0)</f>
        <v>0</v>
      </c>
      <c r="L96" s="72">
        <f t="shared" ref="L96:L101" si="49">IF($F96=8,$H96*$B$31,0)</f>
        <v>1.56</v>
      </c>
      <c r="M96" s="72">
        <f t="shared" ref="M96:M101" si="50">IF($F96=10,$H96*$B$32,0)</f>
        <v>0</v>
      </c>
      <c r="N96" s="72">
        <f t="shared" ref="N96:N101" si="51">IF($F96=12.5,$H96*$B$33,0)</f>
        <v>0</v>
      </c>
      <c r="O96" s="72">
        <f t="shared" ref="O96:O101" si="52">IF($F96=16,$H96*$B$34,0)</f>
        <v>0</v>
      </c>
      <c r="P96" s="72">
        <f t="shared" ref="P96:P101" si="53">IF($F96=20,$H96*$B$35,0)</f>
        <v>0</v>
      </c>
      <c r="Q96" s="84">
        <f t="shared" ref="Q96:Q101" si="54">IF($F96=25,$H96*$B$36,0)</f>
        <v>0</v>
      </c>
    </row>
    <row r="97" spans="2:17" s="56" customFormat="1" ht="12.75" x14ac:dyDescent="0.2">
      <c r="B97" s="78"/>
      <c r="C97" s="78"/>
      <c r="D97" s="63">
        <v>2</v>
      </c>
      <c r="E97" s="67">
        <v>2</v>
      </c>
      <c r="F97" s="68">
        <v>5</v>
      </c>
      <c r="G97" s="71">
        <v>4.5</v>
      </c>
      <c r="H97" s="66">
        <f t="shared" ref="H97:H101" si="55">E97*G97</f>
        <v>9</v>
      </c>
      <c r="I97" s="99">
        <f t="shared" si="46"/>
        <v>0</v>
      </c>
      <c r="J97" s="72">
        <f t="shared" si="47"/>
        <v>1.44</v>
      </c>
      <c r="K97" s="72">
        <f t="shared" si="48"/>
        <v>0</v>
      </c>
      <c r="L97" s="72">
        <f t="shared" si="49"/>
        <v>0</v>
      </c>
      <c r="M97" s="72">
        <f t="shared" si="50"/>
        <v>0</v>
      </c>
      <c r="N97" s="72">
        <f t="shared" si="51"/>
        <v>0</v>
      </c>
      <c r="O97" s="72">
        <f t="shared" si="52"/>
        <v>0</v>
      </c>
      <c r="P97" s="72">
        <f t="shared" si="53"/>
        <v>0</v>
      </c>
      <c r="Q97" s="84">
        <f t="shared" si="54"/>
        <v>0</v>
      </c>
    </row>
    <row r="98" spans="2:17" s="56" customFormat="1" ht="12.75" x14ac:dyDescent="0.2">
      <c r="B98" s="78"/>
      <c r="C98" s="78"/>
      <c r="D98" s="63">
        <v>3</v>
      </c>
      <c r="E98" s="67">
        <v>2</v>
      </c>
      <c r="F98" s="68">
        <v>8</v>
      </c>
      <c r="G98" s="71">
        <v>2</v>
      </c>
      <c r="H98" s="66">
        <f t="shared" si="55"/>
        <v>4</v>
      </c>
      <c r="I98" s="99">
        <f t="shared" si="46"/>
        <v>0</v>
      </c>
      <c r="J98" s="72">
        <f t="shared" si="47"/>
        <v>0</v>
      </c>
      <c r="K98" s="72">
        <f t="shared" si="48"/>
        <v>0</v>
      </c>
      <c r="L98" s="72">
        <f t="shared" si="49"/>
        <v>1.6</v>
      </c>
      <c r="M98" s="72">
        <f t="shared" si="50"/>
        <v>0</v>
      </c>
      <c r="N98" s="72">
        <f t="shared" si="51"/>
        <v>0</v>
      </c>
      <c r="O98" s="72">
        <f t="shared" si="52"/>
        <v>0</v>
      </c>
      <c r="P98" s="72">
        <f t="shared" si="53"/>
        <v>0</v>
      </c>
      <c r="Q98" s="84">
        <f t="shared" si="54"/>
        <v>0</v>
      </c>
    </row>
    <row r="99" spans="2:17" s="56" customFormat="1" ht="12.75" x14ac:dyDescent="0.2">
      <c r="B99" s="78"/>
      <c r="C99" s="78"/>
      <c r="D99" s="63">
        <v>4</v>
      </c>
      <c r="E99" s="67">
        <v>2</v>
      </c>
      <c r="F99" s="68">
        <v>8</v>
      </c>
      <c r="G99" s="71">
        <v>7.96</v>
      </c>
      <c r="H99" s="66">
        <f t="shared" si="55"/>
        <v>15.92</v>
      </c>
      <c r="I99" s="99">
        <f t="shared" si="46"/>
        <v>0</v>
      </c>
      <c r="J99" s="72">
        <f t="shared" si="47"/>
        <v>0</v>
      </c>
      <c r="K99" s="72">
        <f t="shared" si="48"/>
        <v>0</v>
      </c>
      <c r="L99" s="72">
        <f t="shared" si="49"/>
        <v>6.3680000000000003</v>
      </c>
      <c r="M99" s="72">
        <f t="shared" si="50"/>
        <v>0</v>
      </c>
      <c r="N99" s="72">
        <f t="shared" si="51"/>
        <v>0</v>
      </c>
      <c r="O99" s="72">
        <f t="shared" si="52"/>
        <v>0</v>
      </c>
      <c r="P99" s="72">
        <f t="shared" si="53"/>
        <v>0</v>
      </c>
      <c r="Q99" s="84">
        <f t="shared" si="54"/>
        <v>0</v>
      </c>
    </row>
    <row r="100" spans="2:17" s="56" customFormat="1" ht="12.75" x14ac:dyDescent="0.2">
      <c r="B100" s="78"/>
      <c r="C100" s="78"/>
      <c r="D100" s="63">
        <v>5</v>
      </c>
      <c r="E100" s="67">
        <v>1</v>
      </c>
      <c r="F100" s="68">
        <v>8</v>
      </c>
      <c r="G100" s="71">
        <v>5.65</v>
      </c>
      <c r="H100" s="66">
        <f t="shared" si="55"/>
        <v>5.65</v>
      </c>
      <c r="I100" s="99">
        <f t="shared" si="46"/>
        <v>0</v>
      </c>
      <c r="J100" s="72">
        <f t="shared" si="47"/>
        <v>0</v>
      </c>
      <c r="K100" s="72">
        <f t="shared" si="48"/>
        <v>0</v>
      </c>
      <c r="L100" s="72">
        <f t="shared" si="49"/>
        <v>2.2600000000000002</v>
      </c>
      <c r="M100" s="72">
        <f t="shared" si="50"/>
        <v>0</v>
      </c>
      <c r="N100" s="72">
        <f t="shared" si="51"/>
        <v>0</v>
      </c>
      <c r="O100" s="72">
        <f t="shared" si="52"/>
        <v>0</v>
      </c>
      <c r="P100" s="72">
        <f t="shared" si="53"/>
        <v>0</v>
      </c>
      <c r="Q100" s="84">
        <f t="shared" si="54"/>
        <v>0</v>
      </c>
    </row>
    <row r="101" spans="2:17" s="56" customFormat="1" ht="12.75" x14ac:dyDescent="0.2">
      <c r="B101" s="78"/>
      <c r="C101" s="78"/>
      <c r="D101" s="63">
        <v>6</v>
      </c>
      <c r="E101" s="67">
        <v>34</v>
      </c>
      <c r="F101" s="68">
        <v>5</v>
      </c>
      <c r="G101" s="71">
        <v>0.98</v>
      </c>
      <c r="H101" s="66">
        <f t="shared" si="55"/>
        <v>33.32</v>
      </c>
      <c r="I101" s="99">
        <f t="shared" si="46"/>
        <v>0</v>
      </c>
      <c r="J101" s="72">
        <f t="shared" si="47"/>
        <v>5.3311999999999999</v>
      </c>
      <c r="K101" s="72">
        <f t="shared" si="48"/>
        <v>0</v>
      </c>
      <c r="L101" s="72">
        <f t="shared" si="49"/>
        <v>0</v>
      </c>
      <c r="M101" s="72">
        <f t="shared" si="50"/>
        <v>0</v>
      </c>
      <c r="N101" s="72">
        <f t="shared" si="51"/>
        <v>0</v>
      </c>
      <c r="O101" s="72">
        <f t="shared" si="52"/>
        <v>0</v>
      </c>
      <c r="P101" s="72">
        <f t="shared" si="53"/>
        <v>0</v>
      </c>
      <c r="Q101" s="84">
        <f t="shared" si="54"/>
        <v>0</v>
      </c>
    </row>
    <row r="102" spans="2:17" s="56" customFormat="1" ht="13.5" thickBot="1" x14ac:dyDescent="0.25">
      <c r="D102" s="63"/>
      <c r="E102" s="67"/>
      <c r="F102" s="68"/>
      <c r="G102" s="73"/>
      <c r="H102" s="66"/>
      <c r="I102" s="100"/>
      <c r="J102" s="72"/>
      <c r="K102" s="72"/>
      <c r="L102" s="72"/>
      <c r="M102" s="72"/>
      <c r="N102" s="72"/>
      <c r="O102" s="72"/>
      <c r="P102" s="72"/>
      <c r="Q102" s="84"/>
    </row>
    <row r="103" spans="2:17" s="56" customFormat="1" ht="15" customHeight="1" x14ac:dyDescent="0.2">
      <c r="D103" s="251" t="s">
        <v>33</v>
      </c>
      <c r="E103" s="252"/>
      <c r="F103" s="252"/>
      <c r="G103" s="252"/>
      <c r="H103" s="253"/>
      <c r="I103" s="96">
        <f>SUM(I104:I107)</f>
        <v>0</v>
      </c>
      <c r="J103" s="97">
        <f>SUM(J104:J107)</f>
        <v>3.7568000000000001</v>
      </c>
      <c r="K103" s="97">
        <f>SUM(K104:K107)</f>
        <v>0</v>
      </c>
      <c r="L103" s="97">
        <f>SUM(L104:L107)</f>
        <v>4.9040000000000008</v>
      </c>
      <c r="M103" s="97">
        <f>SUM(M104:M107)</f>
        <v>0</v>
      </c>
      <c r="N103" s="97">
        <f>SUM(N104:N107)</f>
        <v>0</v>
      </c>
      <c r="O103" s="97">
        <f>SUM(O104:O107)</f>
        <v>0</v>
      </c>
      <c r="P103" s="97">
        <f>SUM(P104:P107)</f>
        <v>0</v>
      </c>
      <c r="Q103" s="98">
        <f>SUM(Q104:Q107)</f>
        <v>0</v>
      </c>
    </row>
    <row r="104" spans="2:17" s="56" customFormat="1" ht="12.75" x14ac:dyDescent="0.2">
      <c r="D104" s="63">
        <v>1</v>
      </c>
      <c r="E104" s="67">
        <v>2</v>
      </c>
      <c r="F104" s="68">
        <v>8</v>
      </c>
      <c r="G104" s="71">
        <v>1.6</v>
      </c>
      <c r="H104" s="66">
        <f>E104*G104</f>
        <v>3.2</v>
      </c>
      <c r="I104" s="99">
        <f t="shared" ref="I104:I107" si="56">IF($F104=4.2,H104*$B$28,0)</f>
        <v>0</v>
      </c>
      <c r="J104" s="72">
        <f t="shared" ref="J104:J107" si="57">IF($F104=5,$H104*$B$29,0)</f>
        <v>0</v>
      </c>
      <c r="K104" s="72">
        <f t="shared" ref="K104:K107" si="58">IF($F104=6.3,$H104*$B$30,0)</f>
        <v>0</v>
      </c>
      <c r="L104" s="72">
        <f t="shared" ref="L104:L107" si="59">IF($F104=8,$H104*$B$31,0)</f>
        <v>1.2800000000000002</v>
      </c>
      <c r="M104" s="72">
        <f t="shared" ref="M104:M107" si="60">IF($F104=10,$H104*$B$32,0)</f>
        <v>0</v>
      </c>
      <c r="N104" s="72">
        <f t="shared" ref="N104:N107" si="61">IF($F104=12.5,$H104*$B$33,0)</f>
        <v>0</v>
      </c>
      <c r="O104" s="72">
        <f t="shared" ref="O104:O107" si="62">IF($F104=16,$H104*$B$34,0)</f>
        <v>0</v>
      </c>
      <c r="P104" s="72">
        <f t="shared" ref="P104:P107" si="63">IF($F104=20,$H104*$B$35,0)</f>
        <v>0</v>
      </c>
      <c r="Q104" s="84">
        <f t="shared" ref="Q104:Q107" si="64">IF($F104=25,$H104*$B$36,0)</f>
        <v>0</v>
      </c>
    </row>
    <row r="105" spans="2:17" s="56" customFormat="1" ht="12.75" x14ac:dyDescent="0.2">
      <c r="D105" s="63">
        <v>2</v>
      </c>
      <c r="E105" s="67">
        <v>2</v>
      </c>
      <c r="F105" s="68">
        <v>5</v>
      </c>
      <c r="G105" s="71">
        <v>3</v>
      </c>
      <c r="H105" s="66">
        <f t="shared" ref="H105:H107" si="65">E105*G105</f>
        <v>6</v>
      </c>
      <c r="I105" s="99">
        <f t="shared" si="56"/>
        <v>0</v>
      </c>
      <c r="J105" s="72">
        <f t="shared" si="57"/>
        <v>0.96</v>
      </c>
      <c r="K105" s="72">
        <f t="shared" si="58"/>
        <v>0</v>
      </c>
      <c r="L105" s="72">
        <f t="shared" si="59"/>
        <v>0</v>
      </c>
      <c r="M105" s="72">
        <f t="shared" si="60"/>
        <v>0</v>
      </c>
      <c r="N105" s="72">
        <f t="shared" si="61"/>
        <v>0</v>
      </c>
      <c r="O105" s="72">
        <f t="shared" si="62"/>
        <v>0</v>
      </c>
      <c r="P105" s="72">
        <f t="shared" si="63"/>
        <v>0</v>
      </c>
      <c r="Q105" s="84">
        <f t="shared" si="64"/>
        <v>0</v>
      </c>
    </row>
    <row r="106" spans="2:17" s="56" customFormat="1" ht="12.75" x14ac:dyDescent="0.2">
      <c r="D106" s="63">
        <v>3</v>
      </c>
      <c r="E106" s="67">
        <v>2</v>
      </c>
      <c r="F106" s="68">
        <v>8</v>
      </c>
      <c r="G106" s="71">
        <v>4.53</v>
      </c>
      <c r="H106" s="66">
        <f t="shared" si="65"/>
        <v>9.06</v>
      </c>
      <c r="I106" s="99">
        <f t="shared" si="56"/>
        <v>0</v>
      </c>
      <c r="J106" s="72">
        <f t="shared" si="57"/>
        <v>0</v>
      </c>
      <c r="K106" s="72">
        <f t="shared" si="58"/>
        <v>0</v>
      </c>
      <c r="L106" s="72">
        <f t="shared" si="59"/>
        <v>3.6240000000000006</v>
      </c>
      <c r="M106" s="72">
        <f t="shared" si="60"/>
        <v>0</v>
      </c>
      <c r="N106" s="72">
        <f t="shared" si="61"/>
        <v>0</v>
      </c>
      <c r="O106" s="72">
        <f t="shared" si="62"/>
        <v>0</v>
      </c>
      <c r="P106" s="72">
        <f t="shared" si="63"/>
        <v>0</v>
      </c>
      <c r="Q106" s="84">
        <f t="shared" si="64"/>
        <v>0</v>
      </c>
    </row>
    <row r="107" spans="2:17" s="56" customFormat="1" ht="12.75" x14ac:dyDescent="0.2">
      <c r="D107" s="63">
        <v>4</v>
      </c>
      <c r="E107" s="67">
        <v>19</v>
      </c>
      <c r="F107" s="68">
        <v>5</v>
      </c>
      <c r="G107" s="71">
        <v>0.92</v>
      </c>
      <c r="H107" s="66">
        <f t="shared" si="65"/>
        <v>17.48</v>
      </c>
      <c r="I107" s="99">
        <f t="shared" si="56"/>
        <v>0</v>
      </c>
      <c r="J107" s="72">
        <f t="shared" si="57"/>
        <v>2.7968000000000002</v>
      </c>
      <c r="K107" s="72">
        <f t="shared" si="58"/>
        <v>0</v>
      </c>
      <c r="L107" s="72">
        <f t="shared" si="59"/>
        <v>0</v>
      </c>
      <c r="M107" s="72">
        <f t="shared" si="60"/>
        <v>0</v>
      </c>
      <c r="N107" s="72">
        <f t="shared" si="61"/>
        <v>0</v>
      </c>
      <c r="O107" s="72">
        <f t="shared" si="62"/>
        <v>0</v>
      </c>
      <c r="P107" s="72">
        <f t="shared" si="63"/>
        <v>0</v>
      </c>
      <c r="Q107" s="84">
        <f t="shared" si="64"/>
        <v>0</v>
      </c>
    </row>
    <row r="108" spans="2:17" s="56" customFormat="1" ht="13.5" thickBot="1" x14ac:dyDescent="0.25">
      <c r="D108" s="63"/>
      <c r="E108" s="67"/>
      <c r="F108" s="68"/>
      <c r="G108" s="71"/>
      <c r="H108" s="66"/>
      <c r="I108" s="99"/>
      <c r="J108" s="72"/>
      <c r="K108" s="72"/>
      <c r="L108" s="72"/>
      <c r="M108" s="72"/>
      <c r="N108" s="72"/>
      <c r="O108" s="72"/>
      <c r="P108" s="72"/>
      <c r="Q108" s="84"/>
    </row>
    <row r="109" spans="2:17" s="56" customFormat="1" ht="15" customHeight="1" x14ac:dyDescent="0.2">
      <c r="D109" s="251" t="s">
        <v>34</v>
      </c>
      <c r="E109" s="252"/>
      <c r="F109" s="252"/>
      <c r="G109" s="252"/>
      <c r="H109" s="253"/>
      <c r="I109" s="96">
        <f>SUM(I110:I114)</f>
        <v>0</v>
      </c>
      <c r="J109" s="97">
        <f>SUM(J110:J114)</f>
        <v>6.764800000000001</v>
      </c>
      <c r="K109" s="97">
        <f>SUM(K110:K114)</f>
        <v>0</v>
      </c>
      <c r="L109" s="97">
        <f>SUM(L110:L114)</f>
        <v>10.704000000000001</v>
      </c>
      <c r="M109" s="97">
        <f>SUM(M110:M114)</f>
        <v>0</v>
      </c>
      <c r="N109" s="97">
        <f>SUM(N110:N114)</f>
        <v>0</v>
      </c>
      <c r="O109" s="97">
        <f>SUM(O110:O114)</f>
        <v>0</v>
      </c>
      <c r="P109" s="97">
        <f>SUM(P110:P114)</f>
        <v>0</v>
      </c>
      <c r="Q109" s="98">
        <f>SUM(Q110:Q114)</f>
        <v>0</v>
      </c>
    </row>
    <row r="110" spans="2:17" s="56" customFormat="1" ht="12.75" x14ac:dyDescent="0.2">
      <c r="D110" s="63">
        <v>1</v>
      </c>
      <c r="E110" s="64">
        <v>2</v>
      </c>
      <c r="F110" s="65">
        <v>8</v>
      </c>
      <c r="G110" s="73">
        <v>3.2</v>
      </c>
      <c r="H110" s="66">
        <f>E110*G110</f>
        <v>6.4</v>
      </c>
      <c r="I110" s="99">
        <f t="shared" ref="I110:I114" si="66">IF($F110=4.2,H110*$B$28,0)</f>
        <v>0</v>
      </c>
      <c r="J110" s="72">
        <f t="shared" ref="J110:J114" si="67">IF($F110=5,$H110*$B$29,0)</f>
        <v>0</v>
      </c>
      <c r="K110" s="72">
        <f t="shared" ref="K110:K114" si="68">IF($F110=6.3,$H110*$B$30,0)</f>
        <v>0</v>
      </c>
      <c r="L110" s="72">
        <f t="shared" ref="L110:L114" si="69">IF($F110=8,$H110*$B$31,0)</f>
        <v>2.5600000000000005</v>
      </c>
      <c r="M110" s="72">
        <f t="shared" ref="M110:M114" si="70">IF($F110=10,$H110*$B$32,0)</f>
        <v>0</v>
      </c>
      <c r="N110" s="72">
        <f t="shared" ref="N110:N114" si="71">IF($F110=12.5,$H110*$B$33,0)</f>
        <v>0</v>
      </c>
      <c r="O110" s="72">
        <f t="shared" ref="O110:O114" si="72">IF($F110=16,$H110*$B$34,0)</f>
        <v>0</v>
      </c>
      <c r="P110" s="72">
        <f t="shared" ref="P110:P114" si="73">IF($F110=20,$H110*$B$35,0)</f>
        <v>0</v>
      </c>
      <c r="Q110" s="84">
        <f t="shared" ref="Q110:Q114" si="74">IF($F110=25,$H110*$B$36,0)</f>
        <v>0</v>
      </c>
    </row>
    <row r="111" spans="2:17" s="56" customFormat="1" ht="12.75" x14ac:dyDescent="0.2">
      <c r="D111" s="63">
        <v>2</v>
      </c>
      <c r="E111" s="67">
        <v>2</v>
      </c>
      <c r="F111" s="68">
        <v>5</v>
      </c>
      <c r="G111" s="71">
        <v>4.9000000000000004</v>
      </c>
      <c r="H111" s="66">
        <f t="shared" ref="H111:H114" si="75">E111*G111</f>
        <v>9.8000000000000007</v>
      </c>
      <c r="I111" s="99">
        <f t="shared" si="66"/>
        <v>0</v>
      </c>
      <c r="J111" s="72">
        <f t="shared" si="67"/>
        <v>1.5680000000000001</v>
      </c>
      <c r="K111" s="72">
        <f t="shared" si="68"/>
        <v>0</v>
      </c>
      <c r="L111" s="72">
        <f t="shared" si="69"/>
        <v>0</v>
      </c>
      <c r="M111" s="72">
        <f t="shared" si="70"/>
        <v>0</v>
      </c>
      <c r="N111" s="72">
        <f t="shared" si="71"/>
        <v>0</v>
      </c>
      <c r="O111" s="72">
        <f t="shared" si="72"/>
        <v>0</v>
      </c>
      <c r="P111" s="72">
        <f t="shared" si="73"/>
        <v>0</v>
      </c>
      <c r="Q111" s="84">
        <f t="shared" si="74"/>
        <v>0</v>
      </c>
    </row>
    <row r="112" spans="2:17" s="56" customFormat="1" ht="12.75" x14ac:dyDescent="0.2">
      <c r="D112" s="63">
        <v>3</v>
      </c>
      <c r="E112" s="67">
        <v>2</v>
      </c>
      <c r="F112" s="68">
        <v>8</v>
      </c>
      <c r="G112" s="71">
        <v>7.98</v>
      </c>
      <c r="H112" s="66">
        <f t="shared" si="75"/>
        <v>15.96</v>
      </c>
      <c r="I112" s="99">
        <f t="shared" si="66"/>
        <v>0</v>
      </c>
      <c r="J112" s="72">
        <f t="shared" si="67"/>
        <v>0</v>
      </c>
      <c r="K112" s="72">
        <f t="shared" si="68"/>
        <v>0</v>
      </c>
      <c r="L112" s="72">
        <f t="shared" si="69"/>
        <v>6.3840000000000003</v>
      </c>
      <c r="M112" s="72">
        <f t="shared" si="70"/>
        <v>0</v>
      </c>
      <c r="N112" s="72">
        <f t="shared" si="71"/>
        <v>0</v>
      </c>
      <c r="O112" s="72">
        <f t="shared" si="72"/>
        <v>0</v>
      </c>
      <c r="P112" s="72">
        <f t="shared" si="73"/>
        <v>0</v>
      </c>
      <c r="Q112" s="84">
        <f t="shared" si="74"/>
        <v>0</v>
      </c>
    </row>
    <row r="113" spans="4:17" s="56" customFormat="1" ht="12.75" x14ac:dyDescent="0.2">
      <c r="D113" s="63">
        <v>4</v>
      </c>
      <c r="E113" s="67">
        <v>1</v>
      </c>
      <c r="F113" s="68">
        <v>8</v>
      </c>
      <c r="G113" s="71">
        <v>4.4000000000000004</v>
      </c>
      <c r="H113" s="66">
        <f t="shared" si="75"/>
        <v>4.4000000000000004</v>
      </c>
      <c r="I113" s="99">
        <f t="shared" si="66"/>
        <v>0</v>
      </c>
      <c r="J113" s="72">
        <f t="shared" si="67"/>
        <v>0</v>
      </c>
      <c r="K113" s="72">
        <f t="shared" si="68"/>
        <v>0</v>
      </c>
      <c r="L113" s="72">
        <f t="shared" si="69"/>
        <v>1.7600000000000002</v>
      </c>
      <c r="M113" s="72">
        <f t="shared" si="70"/>
        <v>0</v>
      </c>
      <c r="N113" s="72">
        <f t="shared" si="71"/>
        <v>0</v>
      </c>
      <c r="O113" s="72">
        <f t="shared" si="72"/>
        <v>0</v>
      </c>
      <c r="P113" s="72">
        <f t="shared" si="73"/>
        <v>0</v>
      </c>
      <c r="Q113" s="84">
        <f t="shared" si="74"/>
        <v>0</v>
      </c>
    </row>
    <row r="114" spans="4:17" s="56" customFormat="1" ht="12.75" x14ac:dyDescent="0.2">
      <c r="D114" s="63">
        <v>5</v>
      </c>
      <c r="E114" s="67">
        <v>29</v>
      </c>
      <c r="F114" s="68">
        <v>5</v>
      </c>
      <c r="G114" s="71">
        <v>1.1200000000000001</v>
      </c>
      <c r="H114" s="66">
        <f t="shared" si="75"/>
        <v>32.480000000000004</v>
      </c>
      <c r="I114" s="99">
        <f t="shared" si="66"/>
        <v>0</v>
      </c>
      <c r="J114" s="72">
        <f t="shared" si="67"/>
        <v>5.1968000000000005</v>
      </c>
      <c r="K114" s="72">
        <f t="shared" si="68"/>
        <v>0</v>
      </c>
      <c r="L114" s="72">
        <f t="shared" si="69"/>
        <v>0</v>
      </c>
      <c r="M114" s="72">
        <f t="shared" si="70"/>
        <v>0</v>
      </c>
      <c r="N114" s="72">
        <f t="shared" si="71"/>
        <v>0</v>
      </c>
      <c r="O114" s="72">
        <f t="shared" si="72"/>
        <v>0</v>
      </c>
      <c r="P114" s="72">
        <f t="shared" si="73"/>
        <v>0</v>
      </c>
      <c r="Q114" s="84">
        <f t="shared" si="74"/>
        <v>0</v>
      </c>
    </row>
    <row r="115" spans="4:17" s="56" customFormat="1" ht="13.5" thickBot="1" x14ac:dyDescent="0.25">
      <c r="D115" s="70"/>
      <c r="E115" s="106"/>
      <c r="F115" s="107"/>
      <c r="G115" s="79"/>
      <c r="H115" s="66"/>
      <c r="I115" s="108"/>
      <c r="J115" s="109"/>
      <c r="K115" s="109"/>
      <c r="L115" s="109"/>
      <c r="M115" s="109"/>
      <c r="N115" s="109"/>
      <c r="O115" s="109"/>
      <c r="P115" s="109"/>
      <c r="Q115" s="110"/>
    </row>
    <row r="116" spans="4:17" s="56" customFormat="1" ht="15" customHeight="1" x14ac:dyDescent="0.2">
      <c r="D116" s="256" t="s">
        <v>35</v>
      </c>
      <c r="E116" s="257"/>
      <c r="F116" s="257"/>
      <c r="G116" s="257"/>
      <c r="H116" s="258"/>
      <c r="I116" s="96">
        <f>SUM(I117:I120)</f>
        <v>0</v>
      </c>
      <c r="J116" s="97">
        <f>SUM(J117:J120)</f>
        <v>6.297600000000001</v>
      </c>
      <c r="K116" s="97">
        <f>SUM(K117:K120)</f>
        <v>0</v>
      </c>
      <c r="L116" s="97">
        <f>SUM(L117:L120)</f>
        <v>9.4879999999999995</v>
      </c>
      <c r="M116" s="97">
        <f>SUM(M117:M120)</f>
        <v>0</v>
      </c>
      <c r="N116" s="97">
        <f>SUM(N117:N120)</f>
        <v>0</v>
      </c>
      <c r="O116" s="97">
        <f>SUM(O117:O120)</f>
        <v>0</v>
      </c>
      <c r="P116" s="97">
        <f>SUM(P117:P120)</f>
        <v>0</v>
      </c>
      <c r="Q116" s="98">
        <f>SUM(Q117:Q120)</f>
        <v>0</v>
      </c>
    </row>
    <row r="117" spans="4:17" s="56" customFormat="1" ht="12.75" x14ac:dyDescent="0.2">
      <c r="D117" s="63">
        <v>1</v>
      </c>
      <c r="E117" s="64">
        <v>4</v>
      </c>
      <c r="F117" s="65">
        <v>8</v>
      </c>
      <c r="G117" s="73">
        <v>1.95</v>
      </c>
      <c r="H117" s="66">
        <f t="shared" ref="H117:H120" si="76">E117*G117</f>
        <v>7.8</v>
      </c>
      <c r="I117" s="101">
        <f>IF($F117=4.2,H117*$B$28,0)</f>
        <v>0</v>
      </c>
      <c r="J117" s="75">
        <f>IF($F117=5,$H117*$B$29,0)</f>
        <v>0</v>
      </c>
      <c r="K117" s="75">
        <f>IF($F117=6.3,$H117*$B$30,0)</f>
        <v>0</v>
      </c>
      <c r="L117" s="75">
        <f>IF($F117=8,$H117*$B$31,0)</f>
        <v>3.12</v>
      </c>
      <c r="M117" s="75">
        <f>IF($F117=10,$H117*$B$32,0)</f>
        <v>0</v>
      </c>
      <c r="N117" s="75">
        <f>IF($F117=12.5,$H117*$B$33,0)</f>
        <v>0</v>
      </c>
      <c r="O117" s="75">
        <f>IF($F117=16,$H117*$B$34,0)</f>
        <v>0</v>
      </c>
      <c r="P117" s="75">
        <f>IF($F117=20,$H117*$B$35,0)</f>
        <v>0</v>
      </c>
      <c r="Q117" s="102">
        <f>IF($F117=25,$H117*$B$36,0)</f>
        <v>0</v>
      </c>
    </row>
    <row r="118" spans="4:17" s="56" customFormat="1" ht="12.75" x14ac:dyDescent="0.2">
      <c r="D118" s="63">
        <v>2</v>
      </c>
      <c r="E118" s="64">
        <v>2</v>
      </c>
      <c r="F118" s="65">
        <v>5</v>
      </c>
      <c r="G118" s="73">
        <v>4.5</v>
      </c>
      <c r="H118" s="66">
        <f t="shared" si="76"/>
        <v>9</v>
      </c>
      <c r="I118" s="101">
        <f t="shared" ref="I118:I120" si="77">IF($F118=4.2,H118*$B$28,0)</f>
        <v>0</v>
      </c>
      <c r="J118" s="75">
        <f t="shared" ref="J118:J139" si="78">IF($F118=5,$H118*$B$29,0)</f>
        <v>1.44</v>
      </c>
      <c r="K118" s="75">
        <f t="shared" ref="K118:K139" si="79">IF($F118=6.3,$H118*$B$30,0)</f>
        <v>0</v>
      </c>
      <c r="L118" s="75">
        <f t="shared" ref="L118:L120" si="80">IF($F118=8,$H118*$B$31,0)</f>
        <v>0</v>
      </c>
      <c r="M118" s="75">
        <f t="shared" ref="M118:M139" si="81">IF($F118=10,$H118*$B$32,0)</f>
        <v>0</v>
      </c>
      <c r="N118" s="75">
        <f t="shared" ref="N118:N139" si="82">IF($F118=12.5,$H118*$B$33,0)</f>
        <v>0</v>
      </c>
      <c r="O118" s="75">
        <f t="shared" ref="O118:O139" si="83">IF($F118=16,$H118*$B$34,0)</f>
        <v>0</v>
      </c>
      <c r="P118" s="75">
        <f t="shared" ref="P118:P139" si="84">IF($F118=20,$H118*$B$35,0)</f>
        <v>0</v>
      </c>
      <c r="Q118" s="102">
        <f t="shared" ref="Q118:Q139" si="85">IF($F118=25,$H118*$B$36,0)</f>
        <v>0</v>
      </c>
    </row>
    <row r="119" spans="4:17" s="56" customFormat="1" ht="12.75" x14ac:dyDescent="0.2">
      <c r="D119" s="63">
        <v>3</v>
      </c>
      <c r="E119" s="64">
        <v>2</v>
      </c>
      <c r="F119" s="65">
        <v>8</v>
      </c>
      <c r="G119" s="73">
        <v>7.96</v>
      </c>
      <c r="H119" s="66">
        <f t="shared" si="76"/>
        <v>15.92</v>
      </c>
      <c r="I119" s="101">
        <f t="shared" si="77"/>
        <v>0</v>
      </c>
      <c r="J119" s="75">
        <f t="shared" si="78"/>
        <v>0</v>
      </c>
      <c r="K119" s="75">
        <f t="shared" si="79"/>
        <v>0</v>
      </c>
      <c r="L119" s="75">
        <f t="shared" si="80"/>
        <v>6.3680000000000003</v>
      </c>
      <c r="M119" s="75">
        <f t="shared" si="81"/>
        <v>0</v>
      </c>
      <c r="N119" s="75">
        <f t="shared" si="82"/>
        <v>0</v>
      </c>
      <c r="O119" s="75">
        <f t="shared" si="83"/>
        <v>0</v>
      </c>
      <c r="P119" s="75">
        <f t="shared" si="84"/>
        <v>0</v>
      </c>
      <c r="Q119" s="102">
        <f t="shared" si="85"/>
        <v>0</v>
      </c>
    </row>
    <row r="120" spans="4:17" s="56" customFormat="1" ht="12.75" x14ac:dyDescent="0.2">
      <c r="D120" s="63">
        <v>4</v>
      </c>
      <c r="E120" s="64">
        <v>33</v>
      </c>
      <c r="F120" s="65">
        <v>5</v>
      </c>
      <c r="G120" s="73">
        <v>0.92</v>
      </c>
      <c r="H120" s="66">
        <f t="shared" si="76"/>
        <v>30.360000000000003</v>
      </c>
      <c r="I120" s="101">
        <f t="shared" si="77"/>
        <v>0</v>
      </c>
      <c r="J120" s="75">
        <f t="shared" si="78"/>
        <v>4.8576000000000006</v>
      </c>
      <c r="K120" s="75">
        <f t="shared" si="79"/>
        <v>0</v>
      </c>
      <c r="L120" s="75">
        <f t="shared" si="80"/>
        <v>0</v>
      </c>
      <c r="M120" s="75">
        <f t="shared" si="81"/>
        <v>0</v>
      </c>
      <c r="N120" s="75">
        <f t="shared" si="82"/>
        <v>0</v>
      </c>
      <c r="O120" s="75">
        <f t="shared" si="83"/>
        <v>0</v>
      </c>
      <c r="P120" s="75">
        <f t="shared" si="84"/>
        <v>0</v>
      </c>
      <c r="Q120" s="102">
        <f t="shared" si="85"/>
        <v>0</v>
      </c>
    </row>
    <row r="121" spans="4:17" s="56" customFormat="1" ht="13.5" thickBot="1" x14ac:dyDescent="0.25">
      <c r="D121" s="70"/>
      <c r="E121" s="106"/>
      <c r="F121" s="107"/>
      <c r="G121" s="79"/>
      <c r="H121" s="66"/>
      <c r="I121" s="101"/>
      <c r="J121" s="75"/>
      <c r="K121" s="75"/>
      <c r="L121" s="75"/>
      <c r="M121" s="75"/>
      <c r="N121" s="75"/>
      <c r="O121" s="75"/>
      <c r="P121" s="75"/>
      <c r="Q121" s="102"/>
    </row>
    <row r="122" spans="4:17" s="56" customFormat="1" ht="15" customHeight="1" x14ac:dyDescent="0.2">
      <c r="D122" s="256" t="s">
        <v>36</v>
      </c>
      <c r="E122" s="257"/>
      <c r="F122" s="257"/>
      <c r="G122" s="257"/>
      <c r="H122" s="258"/>
      <c r="I122" s="96">
        <f>SUM(I123:I126)</f>
        <v>0</v>
      </c>
      <c r="J122" s="97">
        <f>SUM(J123:J126)</f>
        <v>3.2256</v>
      </c>
      <c r="K122" s="97">
        <f>SUM(K123:K126)</f>
        <v>2.4474999999999998</v>
      </c>
      <c r="L122" s="97">
        <f>SUM(L123:L126)</f>
        <v>0</v>
      </c>
      <c r="M122" s="97">
        <f>SUM(M123:M126)</f>
        <v>0</v>
      </c>
      <c r="N122" s="97">
        <f>SUM(N123:N126)</f>
        <v>0</v>
      </c>
      <c r="O122" s="97">
        <f>SUM(O123:O126)</f>
        <v>0</v>
      </c>
      <c r="P122" s="97">
        <f>SUM(P123:P126)</f>
        <v>0</v>
      </c>
      <c r="Q122" s="98">
        <f>SUM(Q123:Q126)</f>
        <v>0</v>
      </c>
    </row>
    <row r="123" spans="4:17" s="56" customFormat="1" ht="12.75" x14ac:dyDescent="0.2">
      <c r="D123" s="63">
        <v>1</v>
      </c>
      <c r="E123" s="64">
        <v>2</v>
      </c>
      <c r="F123" s="68">
        <v>5</v>
      </c>
      <c r="G123" s="73">
        <v>3.22</v>
      </c>
      <c r="H123" s="66">
        <f t="shared" ref="H123:H126" si="86">E123*G123</f>
        <v>6.44</v>
      </c>
      <c r="I123" s="101">
        <f t="shared" ref="I123:I126" si="87">IF($F123=4.2,H123*$B$28,0)</f>
        <v>0</v>
      </c>
      <c r="J123" s="75">
        <f t="shared" si="78"/>
        <v>1.0304</v>
      </c>
      <c r="K123" s="75">
        <f t="shared" si="79"/>
        <v>0</v>
      </c>
      <c r="L123" s="75">
        <f>IF($F123=8,$H123*$B$31,0)</f>
        <v>0</v>
      </c>
      <c r="M123" s="75">
        <f t="shared" si="81"/>
        <v>0</v>
      </c>
      <c r="N123" s="75">
        <f t="shared" si="82"/>
        <v>0</v>
      </c>
      <c r="O123" s="75">
        <f t="shared" si="83"/>
        <v>0</v>
      </c>
      <c r="P123" s="75">
        <f t="shared" si="84"/>
        <v>0</v>
      </c>
      <c r="Q123" s="102">
        <f t="shared" si="85"/>
        <v>0</v>
      </c>
    </row>
    <row r="124" spans="4:17" s="56" customFormat="1" ht="12.75" x14ac:dyDescent="0.2">
      <c r="D124" s="63">
        <v>2</v>
      </c>
      <c r="E124" s="64">
        <v>2</v>
      </c>
      <c r="F124" s="68">
        <v>6.3</v>
      </c>
      <c r="G124" s="71">
        <v>3.52</v>
      </c>
      <c r="H124" s="66">
        <f t="shared" si="86"/>
        <v>7.04</v>
      </c>
      <c r="I124" s="101">
        <f t="shared" si="87"/>
        <v>0</v>
      </c>
      <c r="J124" s="75">
        <f t="shared" si="78"/>
        <v>0</v>
      </c>
      <c r="K124" s="75">
        <f t="shared" si="79"/>
        <v>1.76</v>
      </c>
      <c r="L124" s="75">
        <f t="shared" ref="L124:L139" si="88">IF($F124=8,$H124*$B$31,0)</f>
        <v>0</v>
      </c>
      <c r="M124" s="75">
        <f t="shared" si="81"/>
        <v>0</v>
      </c>
      <c r="N124" s="75">
        <f t="shared" si="82"/>
        <v>0</v>
      </c>
      <c r="O124" s="75">
        <f t="shared" si="83"/>
        <v>0</v>
      </c>
      <c r="P124" s="75">
        <f t="shared" si="84"/>
        <v>0</v>
      </c>
      <c r="Q124" s="102">
        <f t="shared" si="85"/>
        <v>0</v>
      </c>
    </row>
    <row r="125" spans="4:17" s="56" customFormat="1" ht="12.75" x14ac:dyDescent="0.2">
      <c r="D125" s="63">
        <v>3</v>
      </c>
      <c r="E125" s="64">
        <v>1</v>
      </c>
      <c r="F125" s="68">
        <v>6.3</v>
      </c>
      <c r="G125" s="71">
        <v>2.75</v>
      </c>
      <c r="H125" s="66">
        <f t="shared" si="86"/>
        <v>2.75</v>
      </c>
      <c r="I125" s="101">
        <f t="shared" si="87"/>
        <v>0</v>
      </c>
      <c r="J125" s="75">
        <f t="shared" si="78"/>
        <v>0</v>
      </c>
      <c r="K125" s="75">
        <f t="shared" si="79"/>
        <v>0.6875</v>
      </c>
      <c r="L125" s="75">
        <f t="shared" si="88"/>
        <v>0</v>
      </c>
      <c r="M125" s="75">
        <f t="shared" si="81"/>
        <v>0</v>
      </c>
      <c r="N125" s="75">
        <f t="shared" si="82"/>
        <v>0</v>
      </c>
      <c r="O125" s="75">
        <f t="shared" si="83"/>
        <v>0</v>
      </c>
      <c r="P125" s="75">
        <f t="shared" si="84"/>
        <v>0</v>
      </c>
      <c r="Q125" s="102">
        <f t="shared" si="85"/>
        <v>0</v>
      </c>
    </row>
    <row r="126" spans="4:17" s="56" customFormat="1" ht="12.75" x14ac:dyDescent="0.2">
      <c r="D126" s="63">
        <v>4</v>
      </c>
      <c r="E126" s="64">
        <v>14</v>
      </c>
      <c r="F126" s="68">
        <v>5</v>
      </c>
      <c r="G126" s="71">
        <v>0.98</v>
      </c>
      <c r="H126" s="66">
        <f t="shared" si="86"/>
        <v>13.719999999999999</v>
      </c>
      <c r="I126" s="101">
        <f t="shared" si="87"/>
        <v>0</v>
      </c>
      <c r="J126" s="75">
        <f t="shared" si="78"/>
        <v>2.1951999999999998</v>
      </c>
      <c r="K126" s="75">
        <f t="shared" si="79"/>
        <v>0</v>
      </c>
      <c r="L126" s="75">
        <f t="shared" si="88"/>
        <v>0</v>
      </c>
      <c r="M126" s="75">
        <f t="shared" si="81"/>
        <v>0</v>
      </c>
      <c r="N126" s="75">
        <f t="shared" si="82"/>
        <v>0</v>
      </c>
      <c r="O126" s="75">
        <f t="shared" si="83"/>
        <v>0</v>
      </c>
      <c r="P126" s="75">
        <f t="shared" si="84"/>
        <v>0</v>
      </c>
      <c r="Q126" s="102">
        <f t="shared" si="85"/>
        <v>0</v>
      </c>
    </row>
    <row r="127" spans="4:17" s="56" customFormat="1" ht="13.5" thickBot="1" x14ac:dyDescent="0.25">
      <c r="D127" s="70"/>
      <c r="E127" s="106"/>
      <c r="F127" s="107"/>
      <c r="G127" s="79"/>
      <c r="H127" s="66"/>
      <c r="I127" s="101"/>
      <c r="J127" s="75"/>
      <c r="K127" s="75"/>
      <c r="L127" s="75"/>
      <c r="M127" s="75"/>
      <c r="N127" s="75"/>
      <c r="O127" s="75"/>
      <c r="P127" s="75"/>
      <c r="Q127" s="102"/>
    </row>
    <row r="128" spans="4:17" s="56" customFormat="1" ht="15" customHeight="1" x14ac:dyDescent="0.2">
      <c r="D128" s="256" t="s">
        <v>37</v>
      </c>
      <c r="E128" s="257"/>
      <c r="F128" s="257"/>
      <c r="G128" s="257"/>
      <c r="H128" s="258"/>
      <c r="I128" s="96">
        <f>SUM(I129:I131)</f>
        <v>0</v>
      </c>
      <c r="J128" s="97">
        <f>SUM(J129:J131)</f>
        <v>4.4160000000000004</v>
      </c>
      <c r="K128" s="97">
        <f>SUM(K129:K131)</f>
        <v>0</v>
      </c>
      <c r="L128" s="97">
        <f>SUM(L129:L131)</f>
        <v>10.280000000000001</v>
      </c>
      <c r="M128" s="97">
        <f>SUM(M129:M131)</f>
        <v>0</v>
      </c>
      <c r="N128" s="97">
        <f>SUM(N129:N131)</f>
        <v>0</v>
      </c>
      <c r="O128" s="97">
        <f>SUM(O129:O131)</f>
        <v>0</v>
      </c>
      <c r="P128" s="97">
        <f>SUM(P129:P131)</f>
        <v>0</v>
      </c>
      <c r="Q128" s="98">
        <f>SUM(Q129:Q131)</f>
        <v>0</v>
      </c>
    </row>
    <row r="129" spans="4:17" s="56" customFormat="1" ht="12.75" x14ac:dyDescent="0.2">
      <c r="D129" s="63">
        <v>1</v>
      </c>
      <c r="E129" s="64">
        <v>2</v>
      </c>
      <c r="F129" s="68">
        <v>8</v>
      </c>
      <c r="G129" s="73">
        <v>6.35</v>
      </c>
      <c r="H129" s="66">
        <f t="shared" ref="H129:H131" si="89">E129*G129</f>
        <v>12.7</v>
      </c>
      <c r="I129" s="101">
        <f t="shared" ref="I129:I131" si="90">IF($F129=4.2,H129*$B$28,0)</f>
        <v>0</v>
      </c>
      <c r="J129" s="75">
        <f t="shared" si="78"/>
        <v>0</v>
      </c>
      <c r="K129" s="75">
        <f t="shared" si="79"/>
        <v>0</v>
      </c>
      <c r="L129" s="75">
        <f t="shared" si="88"/>
        <v>5.08</v>
      </c>
      <c r="M129" s="75">
        <f t="shared" si="81"/>
        <v>0</v>
      </c>
      <c r="N129" s="75">
        <f t="shared" si="82"/>
        <v>0</v>
      </c>
      <c r="O129" s="75">
        <f t="shared" si="83"/>
        <v>0</v>
      </c>
      <c r="P129" s="75">
        <f t="shared" si="84"/>
        <v>0</v>
      </c>
      <c r="Q129" s="102">
        <f t="shared" si="85"/>
        <v>0</v>
      </c>
    </row>
    <row r="130" spans="4:17" s="56" customFormat="1" ht="12.75" x14ac:dyDescent="0.2">
      <c r="D130" s="63">
        <v>2</v>
      </c>
      <c r="E130" s="64">
        <v>2</v>
      </c>
      <c r="F130" s="68">
        <v>8</v>
      </c>
      <c r="G130" s="71">
        <v>6.5</v>
      </c>
      <c r="H130" s="66">
        <f t="shared" si="89"/>
        <v>13</v>
      </c>
      <c r="I130" s="101">
        <f t="shared" si="90"/>
        <v>0</v>
      </c>
      <c r="J130" s="75">
        <f t="shared" si="78"/>
        <v>0</v>
      </c>
      <c r="K130" s="75">
        <f t="shared" si="79"/>
        <v>0</v>
      </c>
      <c r="L130" s="75">
        <f t="shared" si="88"/>
        <v>5.2</v>
      </c>
      <c r="M130" s="75">
        <f t="shared" si="81"/>
        <v>0</v>
      </c>
      <c r="N130" s="75">
        <f t="shared" si="82"/>
        <v>0</v>
      </c>
      <c r="O130" s="75">
        <f t="shared" si="83"/>
        <v>0</v>
      </c>
      <c r="P130" s="75">
        <f t="shared" si="84"/>
        <v>0</v>
      </c>
      <c r="Q130" s="102">
        <f t="shared" si="85"/>
        <v>0</v>
      </c>
    </row>
    <row r="131" spans="4:17" s="56" customFormat="1" ht="12.75" x14ac:dyDescent="0.2">
      <c r="D131" s="63">
        <v>3</v>
      </c>
      <c r="E131" s="64">
        <v>30</v>
      </c>
      <c r="F131" s="68">
        <v>5</v>
      </c>
      <c r="G131" s="71">
        <v>0.92</v>
      </c>
      <c r="H131" s="66">
        <f t="shared" si="89"/>
        <v>27.6</v>
      </c>
      <c r="I131" s="101">
        <f t="shared" si="90"/>
        <v>0</v>
      </c>
      <c r="J131" s="75">
        <f t="shared" si="78"/>
        <v>4.4160000000000004</v>
      </c>
      <c r="K131" s="75">
        <f t="shared" si="79"/>
        <v>0</v>
      </c>
      <c r="L131" s="75">
        <f t="shared" si="88"/>
        <v>0</v>
      </c>
      <c r="M131" s="75">
        <f t="shared" si="81"/>
        <v>0</v>
      </c>
      <c r="N131" s="75">
        <f t="shared" si="82"/>
        <v>0</v>
      </c>
      <c r="O131" s="75">
        <f t="shared" si="83"/>
        <v>0</v>
      </c>
      <c r="P131" s="75">
        <f t="shared" si="84"/>
        <v>0</v>
      </c>
      <c r="Q131" s="102">
        <f t="shared" si="85"/>
        <v>0</v>
      </c>
    </row>
    <row r="132" spans="4:17" s="56" customFormat="1" ht="13.5" thickBot="1" x14ac:dyDescent="0.25">
      <c r="D132" s="70"/>
      <c r="E132" s="106"/>
      <c r="F132" s="76"/>
      <c r="G132" s="77"/>
      <c r="H132" s="66"/>
      <c r="I132" s="101"/>
      <c r="J132" s="75"/>
      <c r="K132" s="75"/>
      <c r="L132" s="75"/>
      <c r="M132" s="75"/>
      <c r="N132" s="75"/>
      <c r="O132" s="75"/>
      <c r="P132" s="75"/>
      <c r="Q132" s="102"/>
    </row>
    <row r="133" spans="4:17" s="56" customFormat="1" ht="15" customHeight="1" x14ac:dyDescent="0.2">
      <c r="D133" s="256" t="s">
        <v>38</v>
      </c>
      <c r="E133" s="257"/>
      <c r="F133" s="257"/>
      <c r="G133" s="257"/>
      <c r="H133" s="258"/>
      <c r="I133" s="96">
        <f>SUM(I134:I139)</f>
        <v>0</v>
      </c>
      <c r="J133" s="97">
        <f>SUM(J134:J139)</f>
        <v>11.571200000000001</v>
      </c>
      <c r="K133" s="97">
        <f>SUM(K134:K139)</f>
        <v>0</v>
      </c>
      <c r="L133" s="97">
        <f>SUM(L134:L139)</f>
        <v>16.176000000000002</v>
      </c>
      <c r="M133" s="97">
        <f>SUM(M134:M139)</f>
        <v>0</v>
      </c>
      <c r="N133" s="97">
        <f>SUM(N134:N139)</f>
        <v>0</v>
      </c>
      <c r="O133" s="97">
        <f>SUM(O134:O139)</f>
        <v>0</v>
      </c>
      <c r="P133" s="97">
        <f>SUM(P134:P139)</f>
        <v>0</v>
      </c>
      <c r="Q133" s="98">
        <f>SUM(Q134:Q139)</f>
        <v>0</v>
      </c>
    </row>
    <row r="134" spans="4:17" s="56" customFormat="1" ht="12.75" x14ac:dyDescent="0.2">
      <c r="D134" s="63">
        <v>1</v>
      </c>
      <c r="E134" s="64">
        <v>4</v>
      </c>
      <c r="F134" s="65">
        <v>5</v>
      </c>
      <c r="G134" s="73">
        <v>4.05</v>
      </c>
      <c r="H134" s="66">
        <f t="shared" ref="H134:H139" si="91">E134*G134</f>
        <v>16.2</v>
      </c>
      <c r="I134" s="101">
        <f t="shared" ref="I134:I139" si="92">IF($F134=4.2,H134*$B$28,0)</f>
        <v>0</v>
      </c>
      <c r="J134" s="75">
        <f t="shared" si="78"/>
        <v>2.5920000000000001</v>
      </c>
      <c r="K134" s="75">
        <f>IF($F134=6.3,$H134*$B$30,0)</f>
        <v>0</v>
      </c>
      <c r="L134" s="75">
        <f t="shared" si="88"/>
        <v>0</v>
      </c>
      <c r="M134" s="75">
        <f t="shared" si="81"/>
        <v>0</v>
      </c>
      <c r="N134" s="75">
        <f t="shared" si="82"/>
        <v>0</v>
      </c>
      <c r="O134" s="75">
        <f t="shared" si="83"/>
        <v>0</v>
      </c>
      <c r="P134" s="75">
        <f t="shared" si="84"/>
        <v>0</v>
      </c>
      <c r="Q134" s="102">
        <f t="shared" si="85"/>
        <v>0</v>
      </c>
    </row>
    <row r="135" spans="4:17" s="56" customFormat="1" ht="12.75" x14ac:dyDescent="0.2">
      <c r="D135" s="63">
        <v>2</v>
      </c>
      <c r="E135" s="67">
        <v>2</v>
      </c>
      <c r="F135" s="68">
        <v>8</v>
      </c>
      <c r="G135" s="71">
        <v>4.3499999999999996</v>
      </c>
      <c r="H135" s="66">
        <f t="shared" si="91"/>
        <v>8.6999999999999993</v>
      </c>
      <c r="I135" s="101">
        <f t="shared" si="92"/>
        <v>0</v>
      </c>
      <c r="J135" s="75">
        <f t="shared" si="78"/>
        <v>0</v>
      </c>
      <c r="K135" s="75">
        <f t="shared" si="79"/>
        <v>0</v>
      </c>
      <c r="L135" s="75">
        <f t="shared" si="88"/>
        <v>3.48</v>
      </c>
      <c r="M135" s="75">
        <f t="shared" si="81"/>
        <v>0</v>
      </c>
      <c r="N135" s="75">
        <f t="shared" si="82"/>
        <v>0</v>
      </c>
      <c r="O135" s="75">
        <f t="shared" si="83"/>
        <v>0</v>
      </c>
      <c r="P135" s="75">
        <f t="shared" si="84"/>
        <v>0</v>
      </c>
      <c r="Q135" s="102">
        <f t="shared" si="85"/>
        <v>0</v>
      </c>
    </row>
    <row r="136" spans="4:17" s="56" customFormat="1" ht="12.75" x14ac:dyDescent="0.2">
      <c r="D136" s="63">
        <v>3</v>
      </c>
      <c r="E136" s="67">
        <v>2</v>
      </c>
      <c r="F136" s="68">
        <v>8</v>
      </c>
      <c r="G136" s="71">
        <v>1.8</v>
      </c>
      <c r="H136" s="66">
        <f t="shared" si="91"/>
        <v>3.6</v>
      </c>
      <c r="I136" s="101">
        <f t="shared" si="92"/>
        <v>0</v>
      </c>
      <c r="J136" s="75">
        <f t="shared" si="78"/>
        <v>0</v>
      </c>
      <c r="K136" s="75">
        <f t="shared" si="79"/>
        <v>0</v>
      </c>
      <c r="L136" s="75">
        <f t="shared" si="88"/>
        <v>1.4400000000000002</v>
      </c>
      <c r="M136" s="75">
        <f t="shared" si="81"/>
        <v>0</v>
      </c>
      <c r="N136" s="75">
        <f t="shared" si="82"/>
        <v>0</v>
      </c>
      <c r="O136" s="75">
        <f t="shared" si="83"/>
        <v>0</v>
      </c>
      <c r="P136" s="75">
        <f t="shared" si="84"/>
        <v>0</v>
      </c>
      <c r="Q136" s="102">
        <f t="shared" si="85"/>
        <v>0</v>
      </c>
    </row>
    <row r="137" spans="4:17" s="56" customFormat="1" ht="12.75" x14ac:dyDescent="0.2">
      <c r="D137" s="63">
        <v>4</v>
      </c>
      <c r="E137" s="67">
        <v>2</v>
      </c>
      <c r="F137" s="68">
        <v>8</v>
      </c>
      <c r="G137" s="71">
        <v>6.5</v>
      </c>
      <c r="H137" s="66">
        <f t="shared" si="91"/>
        <v>13</v>
      </c>
      <c r="I137" s="101">
        <f t="shared" si="92"/>
        <v>0</v>
      </c>
      <c r="J137" s="75">
        <f t="shared" si="78"/>
        <v>0</v>
      </c>
      <c r="K137" s="75">
        <f t="shared" si="79"/>
        <v>0</v>
      </c>
      <c r="L137" s="75">
        <f t="shared" si="88"/>
        <v>5.2</v>
      </c>
      <c r="M137" s="75">
        <f t="shared" si="81"/>
        <v>0</v>
      </c>
      <c r="N137" s="75">
        <f t="shared" si="82"/>
        <v>0</v>
      </c>
      <c r="O137" s="75">
        <f t="shared" si="83"/>
        <v>0</v>
      </c>
      <c r="P137" s="75">
        <f t="shared" si="84"/>
        <v>0</v>
      </c>
      <c r="Q137" s="102">
        <f t="shared" si="85"/>
        <v>0</v>
      </c>
    </row>
    <row r="138" spans="4:17" s="56" customFormat="1" ht="12.75" x14ac:dyDescent="0.2">
      <c r="D138" s="63">
        <v>5</v>
      </c>
      <c r="E138" s="67">
        <v>2</v>
      </c>
      <c r="F138" s="68">
        <v>8</v>
      </c>
      <c r="G138" s="71">
        <v>7.57</v>
      </c>
      <c r="H138" s="66">
        <f t="shared" si="91"/>
        <v>15.14</v>
      </c>
      <c r="I138" s="101">
        <f t="shared" si="92"/>
        <v>0</v>
      </c>
      <c r="J138" s="75">
        <f t="shared" si="78"/>
        <v>0</v>
      </c>
      <c r="K138" s="75">
        <f t="shared" si="79"/>
        <v>0</v>
      </c>
      <c r="L138" s="75">
        <f t="shared" si="88"/>
        <v>6.0560000000000009</v>
      </c>
      <c r="M138" s="75">
        <f t="shared" si="81"/>
        <v>0</v>
      </c>
      <c r="N138" s="75">
        <f t="shared" si="82"/>
        <v>0</v>
      </c>
      <c r="O138" s="75">
        <f t="shared" si="83"/>
        <v>0</v>
      </c>
      <c r="P138" s="75">
        <f t="shared" si="84"/>
        <v>0</v>
      </c>
      <c r="Q138" s="102">
        <f t="shared" si="85"/>
        <v>0</v>
      </c>
    </row>
    <row r="139" spans="4:17" s="56" customFormat="1" ht="12.75" x14ac:dyDescent="0.2">
      <c r="D139" s="63">
        <v>6</v>
      </c>
      <c r="E139" s="67">
        <v>61</v>
      </c>
      <c r="F139" s="68">
        <v>5</v>
      </c>
      <c r="G139" s="71">
        <v>0.92</v>
      </c>
      <c r="H139" s="66">
        <f t="shared" si="91"/>
        <v>56.120000000000005</v>
      </c>
      <c r="I139" s="101">
        <f t="shared" si="92"/>
        <v>0</v>
      </c>
      <c r="J139" s="75">
        <f t="shared" si="78"/>
        <v>8.9792000000000005</v>
      </c>
      <c r="K139" s="75">
        <f t="shared" si="79"/>
        <v>0</v>
      </c>
      <c r="L139" s="75">
        <f t="shared" si="88"/>
        <v>0</v>
      </c>
      <c r="M139" s="75">
        <f t="shared" si="81"/>
        <v>0</v>
      </c>
      <c r="N139" s="75">
        <f t="shared" si="82"/>
        <v>0</v>
      </c>
      <c r="O139" s="75">
        <f t="shared" si="83"/>
        <v>0</v>
      </c>
      <c r="P139" s="75">
        <f t="shared" si="84"/>
        <v>0</v>
      </c>
      <c r="Q139" s="102">
        <f t="shared" si="85"/>
        <v>0</v>
      </c>
    </row>
    <row r="140" spans="4:17" s="56" customFormat="1" ht="13.5" thickBot="1" x14ac:dyDescent="0.25">
      <c r="D140" s="112"/>
      <c r="E140" s="113"/>
      <c r="F140" s="114"/>
      <c r="G140" s="115"/>
      <c r="H140" s="115"/>
      <c r="I140" s="74"/>
      <c r="J140" s="74"/>
      <c r="K140" s="74"/>
      <c r="L140" s="74"/>
      <c r="M140" s="74"/>
      <c r="N140" s="74"/>
      <c r="O140" s="74"/>
      <c r="P140" s="74"/>
      <c r="Q140" s="111"/>
    </row>
    <row r="141" spans="4:17" s="56" customFormat="1" ht="15.75" customHeight="1" thickBot="1" x14ac:dyDescent="0.25">
      <c r="D141" s="259" t="s">
        <v>55</v>
      </c>
      <c r="E141" s="260"/>
      <c r="F141" s="260"/>
      <c r="G141" s="260"/>
      <c r="H141" s="260"/>
      <c r="I141" s="80">
        <f>SUM(I95:I139)/2</f>
        <v>0</v>
      </c>
      <c r="J141" s="80">
        <f>SUM(J95:J139)/2</f>
        <v>42.803200000000004</v>
      </c>
      <c r="K141" s="80">
        <f>SUM(K95:K139)/2</f>
        <v>2.4474999999999998</v>
      </c>
      <c r="L141" s="80">
        <f>SUM(L95:L139)/2</f>
        <v>63.34</v>
      </c>
      <c r="M141" s="80">
        <f>SUM(M95:M139)/2</f>
        <v>0</v>
      </c>
      <c r="N141" s="80">
        <f>SUM(N95:N139)/2</f>
        <v>0</v>
      </c>
      <c r="O141" s="80">
        <f>SUM(O95:O139)/2</f>
        <v>0</v>
      </c>
      <c r="P141" s="80">
        <f>SUM(P95:P139)/2</f>
        <v>0</v>
      </c>
      <c r="Q141" s="80">
        <f>SUM(Q95:Q139)/2</f>
        <v>0</v>
      </c>
    </row>
    <row r="142" spans="4:17" ht="15.75" thickTop="1" x14ac:dyDescent="0.25"/>
  </sheetData>
  <mergeCells count="49">
    <mergeCell ref="D4:Q4"/>
    <mergeCell ref="D5:Q5"/>
    <mergeCell ref="D6:Q6"/>
    <mergeCell ref="D1:Q1"/>
    <mergeCell ref="D2:Q2"/>
    <mergeCell ref="D3:Q3"/>
    <mergeCell ref="D9:L9"/>
    <mergeCell ref="D11:Q11"/>
    <mergeCell ref="D12:Q12"/>
    <mergeCell ref="D13:Q13"/>
    <mergeCell ref="D17:H17"/>
    <mergeCell ref="D18:H18"/>
    <mergeCell ref="D19:H19"/>
    <mergeCell ref="D20:H20"/>
    <mergeCell ref="D21:H21"/>
    <mergeCell ref="I14:Q14"/>
    <mergeCell ref="D26:H26"/>
    <mergeCell ref="D29:H29"/>
    <mergeCell ref="D39:H39"/>
    <mergeCell ref="D141:H141"/>
    <mergeCell ref="D94:G94"/>
    <mergeCell ref="D95:H95"/>
    <mergeCell ref="D103:H103"/>
    <mergeCell ref="D109:H109"/>
    <mergeCell ref="D116:H116"/>
    <mergeCell ref="D122:H122"/>
    <mergeCell ref="D128:H128"/>
    <mergeCell ref="D133:H133"/>
    <mergeCell ref="D89:Q89"/>
    <mergeCell ref="D90:Q90"/>
    <mergeCell ref="D91:J91"/>
    <mergeCell ref="K91:Q91"/>
    <mergeCell ref="I92:Q92"/>
    <mergeCell ref="D92:H92"/>
    <mergeCell ref="D86:H86"/>
    <mergeCell ref="D53:H53"/>
    <mergeCell ref="D61:H61"/>
    <mergeCell ref="D67:H67"/>
    <mergeCell ref="D74:H74"/>
    <mergeCell ref="D25:J25"/>
    <mergeCell ref="K25:Q25"/>
    <mergeCell ref="I26:Q26"/>
    <mergeCell ref="D45:H45"/>
    <mergeCell ref="D28:G28"/>
    <mergeCell ref="D14:H15"/>
    <mergeCell ref="I15:J15"/>
    <mergeCell ref="K15:Q15"/>
    <mergeCell ref="D23:Q23"/>
    <mergeCell ref="D24:Q2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8" fitToHeight="10" orientation="portrait" verticalDpi="0" r:id="rId1"/>
  <headerFooter>
    <oddFooter>&amp;C&amp;8Rua Ferreira Pena, 1.109 – Centro – Manaus/AM – Cel: (0**92) 98415-0793, Fone: (0**92) 3306-0045 – e-mail: enge.ifam@ifam.edu.br 
DIRETORIA DE OBRAS E SERVIÇOS DE ENGENHARIA/IFAM&amp;R&amp;8Página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Lev SAPATAS</vt:lpstr>
      <vt:lpstr>Lev Pilares</vt:lpstr>
      <vt:lpstr>Lev. Vigas</vt:lpstr>
      <vt:lpstr>Aço Sapatas</vt:lpstr>
      <vt:lpstr>Aço Pilares</vt:lpstr>
      <vt:lpstr> Aço Vigas </vt:lpstr>
      <vt:lpstr>' Aço Vigas '!Area_de_impressao</vt:lpstr>
      <vt:lpstr>'Aço Pilares'!Area_de_impressao</vt:lpstr>
      <vt:lpstr>'Aço Sapatas'!Area_de_impressao</vt:lpstr>
      <vt:lpstr>'Lev Pilares'!Area_de_impressao</vt:lpstr>
      <vt:lpstr>'Lev SAPATAS'!Area_de_impressao</vt:lpstr>
      <vt:lpstr>'Lev. Vigas'!Area_de_impressao</vt:lpstr>
      <vt:lpstr>' Aço Vigas '!Titulos_de_impressao</vt:lpstr>
      <vt:lpstr>'Aço Pilares'!Titulos_de_impressao</vt:lpstr>
      <vt:lpstr>'Aço Sapatas'!Titulos_de_impressao</vt:lpstr>
      <vt:lpstr>'Lev Pilares'!Titulos_de_impressao</vt:lpstr>
      <vt:lpstr>'Lev SAPATAS'!Titulos_de_impressao</vt:lpstr>
      <vt:lpstr>'Lev. Vigas'!Titulos_de_impressao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Pericles Teixeira Veiga</dc:creator>
  <cp:lastModifiedBy>Pericles Teixeira Veiga</cp:lastModifiedBy>
  <cp:lastPrinted>2016-11-10T15:02:14Z</cp:lastPrinted>
  <dcterms:created xsi:type="dcterms:W3CDTF">2016-08-30T12:09:12Z</dcterms:created>
  <dcterms:modified xsi:type="dcterms:W3CDTF">2016-11-10T15:02:55Z</dcterms:modified>
</cp:coreProperties>
</file>