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1.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comments2.xml" ContentType="application/vnd.openxmlformats-officedocument.spreadsheetml.comments+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comments3.xml" ContentType="application/vnd.openxmlformats-officedocument.spreadsheetml.comments+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pivotTables/pivotTable2.xml" ContentType="application/vnd.openxmlformats-officedocument.spreadsheetml.pivotTable+xml"/>
  <Override PartName="/xl/tables/table44.xml" ContentType="application/vnd.openxmlformats-officedocument.spreadsheetml.table+xml"/>
  <Override PartName="/xl/tables/table45.xml" ContentType="application/vnd.openxmlformats-officedocument.spreadsheetml.table+xml"/>
  <Override PartName="/xl/comments4.xml" ContentType="application/vnd.openxmlformats-officedocument.spreadsheetml.comments+xml"/>
  <Override PartName="/xl/tables/table4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GB DA ROCHA\Desktop\IFAM INTERIOR\"/>
    </mc:Choice>
  </mc:AlternateContent>
  <xr:revisionPtr revIDLastSave="0" documentId="13_ncr:1_{7785C7C4-76BD-4253-88A9-CA977B5B7E2B}" xr6:coauthVersionLast="47" xr6:coauthVersionMax="47" xr10:uidLastSave="{00000000-0000-0000-0000-000000000000}"/>
  <bookViews>
    <workbookView xWindow="-120" yWindow="-120" windowWidth="21840" windowHeight="13140" tabRatio="875" firstSheet="3" activeTab="3" xr2:uid="{00000000-000D-0000-FFFF-FFFF00000000}"/>
  </bookViews>
  <sheets>
    <sheet name="PADRAO E REFERENCIA" sheetId="28" state="hidden" r:id="rId1"/>
    <sheet name="IN 05-2017" sheetId="29" state="hidden" r:id="rId2"/>
    <sheet name="VERIFICAÇÃO DO DESEQUILÍBRIO" sheetId="43" state="hidden" r:id="rId3"/>
    <sheet name="PARAMETROS DA CONTRATAÇÃO" sheetId="41" r:id="rId4"/>
    <sheet name="TABELA DE ATUALIZAÇÃO PROPOSTA" sheetId="42" r:id="rId5"/>
    <sheet name="PROPOSTA EM M2" sheetId="21" r:id="rId6"/>
    <sheet name="PLANILHA DE CUSTOS" sheetId="7" r:id="rId7"/>
    <sheet name="MATERIAIS" sheetId="24" r:id="rId8"/>
    <sheet name="DEMAIS MÓDULOS" sheetId="12" r:id="rId9"/>
    <sheet name="MÓDULO RESCISÃO" sheetId="23" r:id="rId10"/>
    <sheet name="MÓDULO 05" sheetId="13" r:id="rId11"/>
    <sheet name="Tempos" sheetId="40" state="hidden" r:id="rId12"/>
    <sheet name="MÓDULO PROFISSIONAL AUSENTE" sheetId="14" r:id="rId13"/>
    <sheet name="PLANO DE TRABALHO - CALCULO" sheetId="38" r:id="rId14"/>
    <sheet name="Orientações" sheetId="11" r:id="rId15"/>
  </sheets>
  <externalReferences>
    <externalReference r:id="rId16"/>
  </externalReferences>
  <definedNames>
    <definedName name="_xlnm._FilterDatabase" localSheetId="7" hidden="1">MATERIAIS!$A$1:$I$118</definedName>
    <definedName name="_xlnm._FilterDatabase" localSheetId="0" hidden="1">'PADRAO E REFERENCIA'!$A$2:$D$22</definedName>
    <definedName name="_xlnm._FilterDatabase" localSheetId="13" hidden="1">'PLANO DE TRABALHO - CALCULO'!$A$1:$AB$50</definedName>
    <definedName name="_xlnm.Print_Area" localSheetId="8">'DEMAIS MÓDULOS'!$A$1:$J$72</definedName>
    <definedName name="_xlnm.Print_Area" localSheetId="10">'MÓDULO 05'!$A$2:$I$88</definedName>
    <definedName name="_xlnm.Print_Area" localSheetId="6">'PLANILHA DE CUSTOS'!$A$27:$C$96</definedName>
    <definedName name="_xlnm.Print_Area" localSheetId="5">'PROPOSTA EM M2'!$A$2:$M$9</definedName>
  </definedNames>
  <calcPr calcId="191029"/>
  <pivotCaches>
    <pivotCache cacheId="137" r:id="rId17"/>
    <pivotCache cacheId="141" r:id="rId1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22" i="7" l="1"/>
  <c r="G21" i="7"/>
  <c r="C22" i="7"/>
  <c r="C21" i="7"/>
  <c r="H4" i="21" l="1"/>
  <c r="C9" i="7"/>
  <c r="C8" i="7"/>
  <c r="C7" i="7"/>
  <c r="C6" i="7"/>
  <c r="B4" i="7"/>
  <c r="B3" i="7"/>
  <c r="B2" i="7"/>
  <c r="B1" i="7"/>
  <c r="G20" i="7" l="1"/>
  <c r="C20" i="7"/>
  <c r="G3" i="24"/>
  <c r="G4" i="24"/>
  <c r="I4" i="24" s="1"/>
  <c r="G5" i="24"/>
  <c r="G6" i="24"/>
  <c r="I6" i="24" s="1"/>
  <c r="G7" i="24"/>
  <c r="I7" i="24" s="1"/>
  <c r="G8" i="24"/>
  <c r="I8" i="24" s="1"/>
  <c r="G9" i="24"/>
  <c r="I9" i="24" s="1"/>
  <c r="G10" i="24"/>
  <c r="I10" i="24" s="1"/>
  <c r="G11" i="24"/>
  <c r="I11" i="24" s="1"/>
  <c r="G12" i="24"/>
  <c r="I12" i="24" s="1"/>
  <c r="G13" i="24"/>
  <c r="I13" i="24" s="1"/>
  <c r="G14" i="24"/>
  <c r="I14" i="24" s="1"/>
  <c r="G15" i="24"/>
  <c r="I15" i="24" s="1"/>
  <c r="G16" i="24"/>
  <c r="I16" i="24" s="1"/>
  <c r="G17" i="24"/>
  <c r="G18" i="24"/>
  <c r="I18" i="24" s="1"/>
  <c r="G19" i="24"/>
  <c r="G20" i="24"/>
  <c r="I20" i="24" s="1"/>
  <c r="G21" i="24"/>
  <c r="G22" i="24"/>
  <c r="I22" i="24" s="1"/>
  <c r="G23" i="24"/>
  <c r="G24" i="24"/>
  <c r="I24" i="24" s="1"/>
  <c r="G25" i="24"/>
  <c r="G26" i="24"/>
  <c r="I26" i="24" s="1"/>
  <c r="G27" i="24"/>
  <c r="G28" i="24"/>
  <c r="I28" i="24" s="1"/>
  <c r="G29" i="24"/>
  <c r="G30" i="24"/>
  <c r="I30" i="24" s="1"/>
  <c r="G31" i="24"/>
  <c r="I31" i="24" s="1"/>
  <c r="G32" i="24"/>
  <c r="I32" i="24" s="1"/>
  <c r="G33" i="24"/>
  <c r="I33" i="24" s="1"/>
  <c r="G34" i="24"/>
  <c r="G35" i="24"/>
  <c r="I35" i="24" s="1"/>
  <c r="G36" i="24"/>
  <c r="I36" i="24" s="1"/>
  <c r="G37" i="24"/>
  <c r="I37" i="24" s="1"/>
  <c r="G38" i="24"/>
  <c r="I38" i="24" s="1"/>
  <c r="G39" i="24"/>
  <c r="I39" i="24" s="1"/>
  <c r="G40" i="24"/>
  <c r="I40" i="24" s="1"/>
  <c r="G41" i="24"/>
  <c r="I41" i="24" s="1"/>
  <c r="G42" i="24"/>
  <c r="I42" i="24" s="1"/>
  <c r="G43" i="24"/>
  <c r="I43" i="24" s="1"/>
  <c r="G44" i="24"/>
  <c r="I44" i="24" s="1"/>
  <c r="G45" i="24"/>
  <c r="I45" i="24" s="1"/>
  <c r="G46" i="24"/>
  <c r="I46" i="24" s="1"/>
  <c r="G47" i="24"/>
  <c r="I47" i="24" s="1"/>
  <c r="G48" i="24"/>
  <c r="I48" i="24" s="1"/>
  <c r="G49" i="24"/>
  <c r="I49" i="24" s="1"/>
  <c r="G50" i="24"/>
  <c r="I50" i="24" s="1"/>
  <c r="G51" i="24"/>
  <c r="G52" i="24"/>
  <c r="I52" i="24" s="1"/>
  <c r="G53" i="24"/>
  <c r="G54" i="24"/>
  <c r="I54" i="24" s="1"/>
  <c r="G55" i="24"/>
  <c r="I55" i="24" s="1"/>
  <c r="G56" i="24"/>
  <c r="I56" i="24" s="1"/>
  <c r="G57" i="24"/>
  <c r="I57" i="24" s="1"/>
  <c r="G58" i="24"/>
  <c r="I58" i="24" s="1"/>
  <c r="G59" i="24"/>
  <c r="I59" i="24" s="1"/>
  <c r="G60" i="24"/>
  <c r="I60" i="24" s="1"/>
  <c r="G61" i="24"/>
  <c r="G62" i="24"/>
  <c r="I62" i="24" s="1"/>
  <c r="G63" i="24"/>
  <c r="G64" i="24"/>
  <c r="I64" i="24" s="1"/>
  <c r="G65" i="24"/>
  <c r="I65" i="24" s="1"/>
  <c r="G66" i="24"/>
  <c r="G67" i="24"/>
  <c r="I67" i="24" s="1"/>
  <c r="G68" i="24"/>
  <c r="I68" i="24" s="1"/>
  <c r="G69" i="24"/>
  <c r="G70" i="24"/>
  <c r="I70" i="24" s="1"/>
  <c r="G71" i="24"/>
  <c r="G72" i="24"/>
  <c r="I72" i="24" s="1"/>
  <c r="G73" i="24"/>
  <c r="I73" i="24" s="1"/>
  <c r="G74" i="24"/>
  <c r="I74" i="24" s="1"/>
  <c r="G75" i="24"/>
  <c r="I75" i="24" s="1"/>
  <c r="G76" i="24"/>
  <c r="I76" i="24" s="1"/>
  <c r="G77" i="24"/>
  <c r="G78" i="24"/>
  <c r="I78" i="24" s="1"/>
  <c r="G79" i="24"/>
  <c r="I79" i="24" s="1"/>
  <c r="G80" i="24"/>
  <c r="I80" i="24" s="1"/>
  <c r="G81" i="24"/>
  <c r="G82" i="24"/>
  <c r="I82" i="24" s="1"/>
  <c r="G83" i="24"/>
  <c r="I83" i="24" s="1"/>
  <c r="G84" i="24"/>
  <c r="I84" i="24" s="1"/>
  <c r="G85" i="24"/>
  <c r="I85" i="24" s="1"/>
  <c r="G86" i="24"/>
  <c r="I86" i="24" s="1"/>
  <c r="G2" i="24"/>
  <c r="I2" i="24" s="1"/>
  <c r="I3" i="24"/>
  <c r="I5" i="24"/>
  <c r="I17" i="24"/>
  <c r="I23" i="24"/>
  <c r="I53" i="24"/>
  <c r="I71" i="24"/>
  <c r="I77" i="24"/>
  <c r="F87" i="24"/>
  <c r="E86" i="24"/>
  <c r="E85" i="24"/>
  <c r="E84" i="24"/>
  <c r="E83" i="24"/>
  <c r="E82" i="24"/>
  <c r="E81" i="24"/>
  <c r="E80" i="24"/>
  <c r="E79" i="24"/>
  <c r="E78" i="24"/>
  <c r="E77" i="24"/>
  <c r="E76" i="24"/>
  <c r="E75" i="24"/>
  <c r="E74" i="24"/>
  <c r="E73" i="24"/>
  <c r="E72" i="24"/>
  <c r="E71" i="24"/>
  <c r="E70" i="24"/>
  <c r="I69" i="24"/>
  <c r="E69" i="24"/>
  <c r="H69" i="24" s="1"/>
  <c r="E68" i="24"/>
  <c r="E67" i="24"/>
  <c r="I66" i="24"/>
  <c r="E66" i="24"/>
  <c r="E65" i="24"/>
  <c r="E64" i="24"/>
  <c r="E63" i="24"/>
  <c r="E62" i="24"/>
  <c r="I61" i="24"/>
  <c r="E61" i="24"/>
  <c r="E60" i="24"/>
  <c r="E59" i="24"/>
  <c r="E58" i="24"/>
  <c r="E57" i="24"/>
  <c r="H57" i="24" s="1"/>
  <c r="E56" i="24"/>
  <c r="E55" i="24"/>
  <c r="E54" i="24"/>
  <c r="E53" i="24"/>
  <c r="E52" i="24"/>
  <c r="E51" i="24"/>
  <c r="E50" i="24"/>
  <c r="E49" i="24"/>
  <c r="E48" i="24"/>
  <c r="E47" i="24"/>
  <c r="E46" i="24"/>
  <c r="E45" i="24"/>
  <c r="H45" i="24" s="1"/>
  <c r="E44" i="24"/>
  <c r="E43" i="24"/>
  <c r="E42" i="24"/>
  <c r="E41" i="24"/>
  <c r="E40" i="24"/>
  <c r="E39" i="24"/>
  <c r="E38" i="24"/>
  <c r="E37" i="24"/>
  <c r="E36" i="24"/>
  <c r="E35" i="24"/>
  <c r="I34" i="24"/>
  <c r="E34" i="24"/>
  <c r="E33" i="24"/>
  <c r="E32" i="24"/>
  <c r="E31" i="24"/>
  <c r="E30" i="24"/>
  <c r="H30" i="24" s="1"/>
  <c r="I29" i="24"/>
  <c r="E29" i="24"/>
  <c r="E28" i="24"/>
  <c r="E27" i="24"/>
  <c r="E26" i="24"/>
  <c r="I25" i="24"/>
  <c r="E25" i="24"/>
  <c r="E24" i="24"/>
  <c r="E23" i="24"/>
  <c r="E22" i="24"/>
  <c r="I21" i="24"/>
  <c r="E21" i="24"/>
  <c r="E20" i="24"/>
  <c r="I19" i="24"/>
  <c r="E19" i="24"/>
  <c r="E18" i="24"/>
  <c r="E17" i="24"/>
  <c r="E16" i="24"/>
  <c r="E15" i="24"/>
  <c r="E14" i="24"/>
  <c r="E13" i="24"/>
  <c r="E12" i="24"/>
  <c r="E11" i="24"/>
  <c r="E10" i="24"/>
  <c r="H9" i="24"/>
  <c r="E9" i="24"/>
  <c r="E8" i="24"/>
  <c r="E7" i="24"/>
  <c r="E6" i="24"/>
  <c r="E5" i="24"/>
  <c r="E4" i="24"/>
  <c r="E3" i="24"/>
  <c r="E2" i="24"/>
  <c r="L9" i="43"/>
  <c r="K8" i="43"/>
  <c r="M8" i="43" s="1"/>
  <c r="J8" i="43"/>
  <c r="I8" i="43"/>
  <c r="H8" i="43"/>
  <c r="G8" i="43"/>
  <c r="F8" i="43"/>
  <c r="E8" i="43"/>
  <c r="D8" i="43"/>
  <c r="C8" i="43"/>
  <c r="K7" i="43"/>
  <c r="M7" i="43" s="1"/>
  <c r="J7" i="43"/>
  <c r="I7" i="43"/>
  <c r="H7" i="43"/>
  <c r="G7" i="43"/>
  <c r="F7" i="43"/>
  <c r="E7" i="43"/>
  <c r="D7" i="43"/>
  <c r="C7" i="43"/>
  <c r="K6" i="43"/>
  <c r="M6" i="43" s="1"/>
  <c r="J6" i="43"/>
  <c r="I6" i="43"/>
  <c r="H6" i="43"/>
  <c r="G6" i="43"/>
  <c r="F6" i="43"/>
  <c r="E6" i="43"/>
  <c r="D6" i="43"/>
  <c r="C6" i="43"/>
  <c r="K5" i="43"/>
  <c r="M5" i="43" s="1"/>
  <c r="J5" i="43"/>
  <c r="I5" i="43"/>
  <c r="H5" i="43"/>
  <c r="G5" i="43"/>
  <c r="F5" i="43"/>
  <c r="E5" i="43"/>
  <c r="D5" i="43"/>
  <c r="C5" i="43"/>
  <c r="K4" i="43"/>
  <c r="M4" i="43" s="1"/>
  <c r="J4" i="43"/>
  <c r="I4" i="43"/>
  <c r="H4" i="43"/>
  <c r="G4" i="43"/>
  <c r="F4" i="43"/>
  <c r="E4" i="43"/>
  <c r="D4" i="43"/>
  <c r="C4" i="43"/>
  <c r="K3" i="43"/>
  <c r="M3" i="43" s="1"/>
  <c r="J3" i="43"/>
  <c r="I3" i="43"/>
  <c r="H3" i="43"/>
  <c r="G3" i="43"/>
  <c r="F3" i="43"/>
  <c r="E3" i="43"/>
  <c r="D3" i="43"/>
  <c r="C3" i="43"/>
  <c r="K2" i="43"/>
  <c r="J2" i="43"/>
  <c r="I2" i="43"/>
  <c r="H2" i="43"/>
  <c r="G2" i="43"/>
  <c r="F2" i="43"/>
  <c r="E2" i="43"/>
  <c r="D2" i="43"/>
  <c r="C2" i="43"/>
  <c r="Q4" i="14"/>
  <c r="Q5" i="14"/>
  <c r="Q8" i="14"/>
  <c r="Q9" i="14"/>
  <c r="Q10" i="14"/>
  <c r="Q11" i="14"/>
  <c r="Q12" i="14"/>
  <c r="Q13" i="14"/>
  <c r="Q14" i="14"/>
  <c r="F4" i="14"/>
  <c r="F5" i="14"/>
  <c r="F8" i="14"/>
  <c r="F9" i="14"/>
  <c r="F10" i="14"/>
  <c r="F11" i="14"/>
  <c r="F12" i="14"/>
  <c r="F13" i="14"/>
  <c r="F14" i="14"/>
  <c r="H19" i="23"/>
  <c r="I16" i="23"/>
  <c r="H9" i="23"/>
  <c r="I6" i="23"/>
  <c r="H16" i="23"/>
  <c r="H6" i="23"/>
  <c r="E57" i="12"/>
  <c r="E56" i="12"/>
  <c r="F68" i="13"/>
  <c r="H68" i="13" s="1"/>
  <c r="F69" i="13"/>
  <c r="H69" i="13" s="1"/>
  <c r="F70" i="13"/>
  <c r="H70" i="13" s="1"/>
  <c r="F71" i="13"/>
  <c r="H71" i="13" s="1"/>
  <c r="F72" i="13"/>
  <c r="H72" i="13" s="1"/>
  <c r="F73" i="13"/>
  <c r="H73" i="13" s="1"/>
  <c r="F74" i="13"/>
  <c r="H74" i="13" s="1"/>
  <c r="F75" i="13"/>
  <c r="H75" i="13" s="1"/>
  <c r="F76" i="13"/>
  <c r="H76" i="13" s="1"/>
  <c r="F77" i="13"/>
  <c r="H77" i="13" s="1"/>
  <c r="F78" i="13"/>
  <c r="H78" i="13" s="1"/>
  <c r="F79" i="13"/>
  <c r="H79" i="13" s="1"/>
  <c r="F80" i="13"/>
  <c r="H80" i="13" s="1"/>
  <c r="I80" i="13" s="1"/>
  <c r="J80" i="13" s="1"/>
  <c r="F67" i="13"/>
  <c r="H67" i="13" s="1"/>
  <c r="I67" i="13" s="1"/>
  <c r="B68" i="13"/>
  <c r="B69" i="13"/>
  <c r="B70" i="13"/>
  <c r="B71" i="13"/>
  <c r="B72" i="13"/>
  <c r="B73" i="13"/>
  <c r="B74" i="13"/>
  <c r="B75" i="13"/>
  <c r="B76" i="13"/>
  <c r="B77" i="13"/>
  <c r="B78" i="13"/>
  <c r="B79" i="13"/>
  <c r="B80" i="13"/>
  <c r="B67" i="13"/>
  <c r="C68" i="13"/>
  <c r="C69" i="13"/>
  <c r="C70" i="13"/>
  <c r="C71" i="13"/>
  <c r="C72" i="13"/>
  <c r="C73" i="13"/>
  <c r="C74" i="13"/>
  <c r="C75" i="13"/>
  <c r="C76" i="13"/>
  <c r="C77" i="13"/>
  <c r="C78" i="13"/>
  <c r="C79" i="13"/>
  <c r="C80" i="13"/>
  <c r="C67" i="13"/>
  <c r="D15"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47" i="13"/>
  <c r="D48" i="13"/>
  <c r="D49" i="13"/>
  <c r="D50" i="13"/>
  <c r="D51" i="13"/>
  <c r="D52" i="13"/>
  <c r="D53" i="13"/>
  <c r="D54" i="13"/>
  <c r="D55" i="13"/>
  <c r="D56" i="13"/>
  <c r="D57" i="13"/>
  <c r="D58" i="13"/>
  <c r="D59" i="13"/>
  <c r="D14" i="13"/>
  <c r="G15" i="13"/>
  <c r="G16" i="13"/>
  <c r="G17" i="13"/>
  <c r="G18" i="13"/>
  <c r="G19" i="13"/>
  <c r="G20" i="13"/>
  <c r="G21" i="13"/>
  <c r="G22" i="13"/>
  <c r="G23" i="13"/>
  <c r="G24" i="13"/>
  <c r="G25" i="13"/>
  <c r="G26" i="13"/>
  <c r="I26" i="13" s="1"/>
  <c r="G27" i="13"/>
  <c r="I27" i="13" s="1"/>
  <c r="G28" i="13"/>
  <c r="I28" i="13" s="1"/>
  <c r="G29" i="13"/>
  <c r="G30" i="13"/>
  <c r="I30" i="13" s="1"/>
  <c r="G31" i="13"/>
  <c r="I31" i="13" s="1"/>
  <c r="G32" i="13"/>
  <c r="I32" i="13" s="1"/>
  <c r="G33" i="13"/>
  <c r="I33" i="13" s="1"/>
  <c r="G34" i="13"/>
  <c r="G35" i="13"/>
  <c r="G36" i="13"/>
  <c r="G37" i="13"/>
  <c r="G38" i="13"/>
  <c r="G39" i="13"/>
  <c r="I39" i="13" s="1"/>
  <c r="G40" i="13"/>
  <c r="I40" i="13" s="1"/>
  <c r="G41" i="13"/>
  <c r="G42" i="13"/>
  <c r="I42" i="13" s="1"/>
  <c r="G43" i="13"/>
  <c r="I43" i="13" s="1"/>
  <c r="G44" i="13"/>
  <c r="G45" i="13"/>
  <c r="I45" i="13" s="1"/>
  <c r="G46" i="13"/>
  <c r="I46" i="13" s="1"/>
  <c r="G47" i="13"/>
  <c r="I47" i="13" s="1"/>
  <c r="G48" i="13"/>
  <c r="I48" i="13" s="1"/>
  <c r="G49" i="13"/>
  <c r="I49" i="13" s="1"/>
  <c r="G50" i="13"/>
  <c r="I50" i="13" s="1"/>
  <c r="G51" i="13"/>
  <c r="I51" i="13" s="1"/>
  <c r="G52" i="13"/>
  <c r="G53" i="13"/>
  <c r="G54" i="13"/>
  <c r="G55" i="13"/>
  <c r="I55" i="13" s="1"/>
  <c r="G56" i="13"/>
  <c r="G57" i="13"/>
  <c r="G58" i="13"/>
  <c r="G59" i="13"/>
  <c r="G14" i="13"/>
  <c r="B15" i="13"/>
  <c r="B16" i="13"/>
  <c r="B17" i="13"/>
  <c r="B18" i="13"/>
  <c r="B19" i="13"/>
  <c r="B20" i="13"/>
  <c r="B21" i="13"/>
  <c r="B22" i="13"/>
  <c r="B23" i="13"/>
  <c r="B24" i="13"/>
  <c r="B25" i="13"/>
  <c r="B26" i="13"/>
  <c r="B27" i="13"/>
  <c r="B28" i="13"/>
  <c r="B29" i="13"/>
  <c r="B30" i="13"/>
  <c r="B31" i="13"/>
  <c r="B32" i="13"/>
  <c r="B33" i="13"/>
  <c r="B34" i="13"/>
  <c r="B35" i="13"/>
  <c r="B36" i="13"/>
  <c r="B37" i="13"/>
  <c r="B38" i="13"/>
  <c r="B39" i="13"/>
  <c r="B40" i="13"/>
  <c r="B41" i="13"/>
  <c r="B42" i="13"/>
  <c r="B43" i="13"/>
  <c r="B44" i="13"/>
  <c r="B45" i="13"/>
  <c r="B46" i="13"/>
  <c r="B47" i="13"/>
  <c r="B48" i="13"/>
  <c r="B49" i="13"/>
  <c r="B50" i="13"/>
  <c r="B51" i="13"/>
  <c r="B52" i="13"/>
  <c r="B53" i="13"/>
  <c r="B54" i="13"/>
  <c r="B55" i="13"/>
  <c r="B56" i="13"/>
  <c r="B57" i="13"/>
  <c r="B58" i="13"/>
  <c r="B59" i="13"/>
  <c r="B14" i="13"/>
  <c r="E28" i="13"/>
  <c r="H28" i="13" s="1"/>
  <c r="E29" i="13"/>
  <c r="E30" i="13"/>
  <c r="E31" i="13"/>
  <c r="E32" i="13"/>
  <c r="H32" i="13" s="1"/>
  <c r="E33" i="13"/>
  <c r="E34" i="13"/>
  <c r="I29" i="13"/>
  <c r="I34" i="13"/>
  <c r="H29" i="13"/>
  <c r="E46" i="13"/>
  <c r="E47" i="13"/>
  <c r="E48" i="13"/>
  <c r="E49" i="13"/>
  <c r="E26" i="13"/>
  <c r="E27" i="13"/>
  <c r="E35" i="13"/>
  <c r="E36" i="13"/>
  <c r="E37" i="13"/>
  <c r="E38" i="13"/>
  <c r="E39" i="13"/>
  <c r="E40" i="13"/>
  <c r="E41" i="13"/>
  <c r="E42" i="13"/>
  <c r="E43" i="13"/>
  <c r="E44" i="13"/>
  <c r="I41" i="13"/>
  <c r="E45" i="13"/>
  <c r="E50" i="13"/>
  <c r="E51" i="13"/>
  <c r="E52" i="13"/>
  <c r="E53" i="13"/>
  <c r="H53" i="13" s="1"/>
  <c r="E54" i="13"/>
  <c r="H54" i="13" s="1"/>
  <c r="E55" i="13"/>
  <c r="I52" i="13"/>
  <c r="I53" i="13"/>
  <c r="I54" i="13"/>
  <c r="E8" i="13"/>
  <c r="E4" i="13"/>
  <c r="E5" i="13"/>
  <c r="E6" i="13"/>
  <c r="G6" i="13" s="1"/>
  <c r="E7" i="13"/>
  <c r="E3" i="13"/>
  <c r="C76" i="12"/>
  <c r="C78" i="12"/>
  <c r="C79" i="12"/>
  <c r="C80" i="12"/>
  <c r="C75" i="12"/>
  <c r="C67" i="12"/>
  <c r="C69" i="12"/>
  <c r="C70" i="12"/>
  <c r="C71" i="12"/>
  <c r="C66" i="12"/>
  <c r="B57" i="12"/>
  <c r="B54" i="12"/>
  <c r="C57" i="12"/>
  <c r="C56" i="12"/>
  <c r="C55" i="12"/>
  <c r="C54" i="12"/>
  <c r="C53" i="12"/>
  <c r="C52" i="12"/>
  <c r="H49" i="12"/>
  <c r="H48" i="12"/>
  <c r="H47" i="12"/>
  <c r="H46" i="12"/>
  <c r="E49" i="12"/>
  <c r="E48" i="12"/>
  <c r="E47" i="12"/>
  <c r="E46" i="12"/>
  <c r="D49" i="12"/>
  <c r="D48" i="12"/>
  <c r="D47" i="12"/>
  <c r="D46" i="12"/>
  <c r="C47" i="12"/>
  <c r="C46" i="12"/>
  <c r="C49" i="12"/>
  <c r="C48" i="12"/>
  <c r="D43" i="12"/>
  <c r="I11" i="23" s="1"/>
  <c r="D42" i="12"/>
  <c r="D41" i="12"/>
  <c r="I21" i="23" s="1"/>
  <c r="D40" i="12"/>
  <c r="B3" i="12"/>
  <c r="B2" i="12"/>
  <c r="K2" i="21"/>
  <c r="M2" i="21" s="1"/>
  <c r="K3" i="21"/>
  <c r="K4" i="21"/>
  <c r="K5" i="21"/>
  <c r="K6" i="21"/>
  <c r="K7" i="21"/>
  <c r="K8" i="21"/>
  <c r="J2" i="21"/>
  <c r="J3" i="21"/>
  <c r="J4" i="21"/>
  <c r="J5" i="21"/>
  <c r="J6" i="21"/>
  <c r="J7" i="21"/>
  <c r="J8" i="21"/>
  <c r="I2" i="21"/>
  <c r="I3" i="21"/>
  <c r="I4" i="21"/>
  <c r="I5" i="21"/>
  <c r="I6" i="21"/>
  <c r="I7" i="21"/>
  <c r="I8" i="21"/>
  <c r="H2" i="21"/>
  <c r="H3" i="21"/>
  <c r="H5" i="21"/>
  <c r="H6" i="21"/>
  <c r="H7" i="21"/>
  <c r="H8" i="21"/>
  <c r="G2" i="21"/>
  <c r="G3" i="21"/>
  <c r="G4" i="21"/>
  <c r="G5" i="21"/>
  <c r="G6" i="21"/>
  <c r="G7" i="21"/>
  <c r="G8" i="21"/>
  <c r="F2" i="21"/>
  <c r="F3" i="21"/>
  <c r="F4" i="21"/>
  <c r="F5" i="21"/>
  <c r="F6" i="21"/>
  <c r="F7" i="21"/>
  <c r="F8" i="21"/>
  <c r="D2" i="21"/>
  <c r="D3" i="21"/>
  <c r="D4" i="21"/>
  <c r="D5" i="21"/>
  <c r="D6" i="21"/>
  <c r="D7" i="21"/>
  <c r="D8" i="21"/>
  <c r="E2" i="21"/>
  <c r="E3" i="21"/>
  <c r="E4" i="21"/>
  <c r="E5" i="21"/>
  <c r="E6" i="21"/>
  <c r="E7" i="21"/>
  <c r="E8" i="21"/>
  <c r="C2" i="21"/>
  <c r="C3" i="21"/>
  <c r="C4" i="21"/>
  <c r="C5" i="21"/>
  <c r="C6" i="21"/>
  <c r="C7" i="21"/>
  <c r="C8" i="21"/>
  <c r="I18" i="23" l="1"/>
  <c r="H66" i="24"/>
  <c r="H78" i="24"/>
  <c r="H42" i="24"/>
  <c r="H6" i="24"/>
  <c r="H54" i="24"/>
  <c r="H18" i="24"/>
  <c r="H31" i="13"/>
  <c r="I8" i="23"/>
  <c r="H27" i="24"/>
  <c r="I9" i="43"/>
  <c r="C25" i="43" s="1"/>
  <c r="D25" i="43" s="1"/>
  <c r="H9" i="21"/>
  <c r="H36" i="24"/>
  <c r="H81" i="24"/>
  <c r="H21" i="24"/>
  <c r="H63" i="24"/>
  <c r="H51" i="24"/>
  <c r="E87" i="24"/>
  <c r="H33" i="24"/>
  <c r="I81" i="24"/>
  <c r="H15" i="24"/>
  <c r="I51" i="24"/>
  <c r="H72" i="24"/>
  <c r="H12" i="24"/>
  <c r="I27" i="24"/>
  <c r="H48" i="24"/>
  <c r="I63" i="24"/>
  <c r="H84" i="24"/>
  <c r="H3" i="24"/>
  <c r="H39" i="24"/>
  <c r="H75" i="24"/>
  <c r="H24" i="24"/>
  <c r="H60" i="24"/>
  <c r="H4" i="24"/>
  <c r="H7" i="24"/>
  <c r="H10" i="24"/>
  <c r="H13" i="24"/>
  <c r="H16" i="24"/>
  <c r="H19" i="24"/>
  <c r="H22" i="24"/>
  <c r="H25" i="24"/>
  <c r="H28" i="24"/>
  <c r="H31" i="24"/>
  <c r="H34" i="24"/>
  <c r="H37" i="24"/>
  <c r="H40" i="24"/>
  <c r="H43" i="24"/>
  <c r="H46" i="24"/>
  <c r="H49" i="24"/>
  <c r="H52" i="24"/>
  <c r="H55" i="24"/>
  <c r="H58" i="24"/>
  <c r="H61" i="24"/>
  <c r="H64" i="24"/>
  <c r="H67" i="24"/>
  <c r="H70" i="24"/>
  <c r="H73" i="24"/>
  <c r="H76" i="24"/>
  <c r="H79" i="24"/>
  <c r="H82" i="24"/>
  <c r="H85" i="24"/>
  <c r="H2" i="24"/>
  <c r="H5" i="24"/>
  <c r="H8" i="24"/>
  <c r="H11" i="24"/>
  <c r="H14" i="24"/>
  <c r="H17" i="24"/>
  <c r="H20" i="24"/>
  <c r="H23" i="24"/>
  <c r="H26" i="24"/>
  <c r="H29" i="24"/>
  <c r="H32" i="24"/>
  <c r="H35" i="24"/>
  <c r="H38" i="24"/>
  <c r="H41" i="24"/>
  <c r="H44" i="24"/>
  <c r="H47" i="24"/>
  <c r="H50" i="24"/>
  <c r="H53" i="24"/>
  <c r="H56" i="24"/>
  <c r="H59" i="24"/>
  <c r="H62" i="24"/>
  <c r="H65" i="24"/>
  <c r="H68" i="24"/>
  <c r="H71" i="24"/>
  <c r="H74" i="24"/>
  <c r="H77" i="24"/>
  <c r="H80" i="24"/>
  <c r="H83" i="24"/>
  <c r="H86" i="24"/>
  <c r="G9" i="43"/>
  <c r="K9" i="43"/>
  <c r="C9" i="43"/>
  <c r="E9" i="43"/>
  <c r="F9" i="43"/>
  <c r="H9" i="43"/>
  <c r="J9" i="43"/>
  <c r="C26" i="43" s="1"/>
  <c r="D26" i="43" s="1"/>
  <c r="M2" i="43"/>
  <c r="M9" i="43" s="1"/>
  <c r="H33" i="13"/>
  <c r="H48" i="13"/>
  <c r="H30" i="13"/>
  <c r="H26" i="13"/>
  <c r="H38" i="13"/>
  <c r="H37" i="13"/>
  <c r="H36" i="13"/>
  <c r="H35" i="13"/>
  <c r="H34" i="13"/>
  <c r="H55" i="13"/>
  <c r="H52" i="13"/>
  <c r="H49" i="13"/>
  <c r="H47" i="13"/>
  <c r="H46" i="13"/>
  <c r="H51" i="13"/>
  <c r="H27" i="13"/>
  <c r="H39" i="13"/>
  <c r="H44" i="13"/>
  <c r="I36" i="13"/>
  <c r="I35" i="13"/>
  <c r="I38" i="13"/>
  <c r="I37" i="13"/>
  <c r="H43" i="13"/>
  <c r="H41" i="13"/>
  <c r="I44" i="13"/>
  <c r="H42" i="13"/>
  <c r="H40" i="13"/>
  <c r="H50" i="13"/>
  <c r="H45" i="13"/>
  <c r="K9" i="21"/>
  <c r="J9" i="21"/>
  <c r="G9" i="21"/>
  <c r="I9" i="21"/>
  <c r="F9" i="21"/>
  <c r="I87" i="24" l="1"/>
  <c r="H87" i="24"/>
  <c r="D27" i="43"/>
  <c r="C27" i="43"/>
  <c r="E19" i="43" l="1"/>
  <c r="K10" i="43"/>
  <c r="K10" i="21"/>
  <c r="Z79" i="41"/>
  <c r="N19" i="41"/>
  <c r="C77" i="12" s="1"/>
  <c r="K19" i="41"/>
  <c r="Y13" i="41"/>
  <c r="E9" i="13" s="1"/>
  <c r="U11" i="41"/>
  <c r="U10" i="41"/>
  <c r="Q10" i="41"/>
  <c r="U7" i="41"/>
  <c r="N7" i="41"/>
  <c r="G20" i="23" s="1"/>
  <c r="K7" i="41"/>
  <c r="G10" i="23" s="1"/>
  <c r="N16" i="41" l="1"/>
  <c r="Q3" i="14"/>
  <c r="F3" i="14"/>
  <c r="Q6" i="14"/>
  <c r="F6" i="14"/>
  <c r="Q7" i="14"/>
  <c r="F7" i="14"/>
  <c r="K16" i="41"/>
  <c r="C68" i="12"/>
  <c r="O2" i="38"/>
  <c r="P2" i="38" s="1"/>
  <c r="O3" i="38"/>
  <c r="P3" i="38" s="1"/>
  <c r="O4" i="38"/>
  <c r="P4" i="38" s="1"/>
  <c r="O5" i="38"/>
  <c r="P5" i="38" s="1"/>
  <c r="O6" i="38"/>
  <c r="P6" i="38" s="1"/>
  <c r="O7" i="38"/>
  <c r="P7" i="38" s="1"/>
  <c r="O8" i="38"/>
  <c r="P8" i="38" s="1"/>
  <c r="O9" i="38"/>
  <c r="P9" i="38" s="1"/>
  <c r="O12" i="38"/>
  <c r="P12" i="38" s="1"/>
  <c r="O13" i="38"/>
  <c r="P13" i="38" s="1"/>
  <c r="O14" i="38"/>
  <c r="P14" i="38" s="1"/>
  <c r="O15" i="38"/>
  <c r="P15" i="38" s="1"/>
  <c r="O16" i="38"/>
  <c r="P16" i="38" s="1"/>
  <c r="O17" i="38"/>
  <c r="P17" i="38" s="1"/>
  <c r="O18" i="38"/>
  <c r="P18" i="38" s="1"/>
  <c r="O19" i="38"/>
  <c r="P19" i="38" s="1"/>
  <c r="O20" i="38"/>
  <c r="P20" i="38" s="1"/>
  <c r="O21" i="38"/>
  <c r="P21" i="38" s="1"/>
  <c r="O22" i="38"/>
  <c r="P22" i="38" s="1"/>
  <c r="O23" i="38"/>
  <c r="P23" i="38" s="1"/>
  <c r="O24" i="38"/>
  <c r="P24" i="38" s="1"/>
  <c r="O26" i="38"/>
  <c r="P26" i="38" s="1"/>
  <c r="O28" i="38"/>
  <c r="P28" i="38" s="1"/>
  <c r="O29" i="38"/>
  <c r="P29" i="38" s="1"/>
  <c r="O30" i="38"/>
  <c r="P30" i="38" s="1"/>
  <c r="O31" i="38"/>
  <c r="P31" i="38" s="1"/>
  <c r="O33" i="38"/>
  <c r="P33" i="38" s="1"/>
  <c r="O34" i="38"/>
  <c r="P34" i="38" s="1"/>
  <c r="O35" i="38"/>
  <c r="P35" i="38" s="1"/>
  <c r="O36" i="38"/>
  <c r="P36" i="38" s="1"/>
  <c r="O37" i="38"/>
  <c r="P37" i="38" s="1"/>
  <c r="O38" i="38"/>
  <c r="P38" i="38" s="1"/>
  <c r="O39" i="38"/>
  <c r="P39" i="38" s="1"/>
  <c r="O40" i="38"/>
  <c r="P40" i="38" s="1"/>
  <c r="O41" i="38"/>
  <c r="P41" i="38" s="1"/>
  <c r="O42" i="38"/>
  <c r="P42" i="38" s="1"/>
  <c r="O43" i="38"/>
  <c r="P43" i="38" s="1"/>
  <c r="O44" i="38"/>
  <c r="P44" i="38" s="1"/>
  <c r="O45" i="38"/>
  <c r="P45" i="38" s="1"/>
  <c r="O46" i="38"/>
  <c r="P46" i="38" s="1"/>
  <c r="O47" i="38"/>
  <c r="P47" i="38" s="1"/>
  <c r="O48" i="38"/>
  <c r="P48" i="38" s="1"/>
  <c r="O49" i="38"/>
  <c r="P49" i="38" s="1"/>
  <c r="N2" i="38"/>
  <c r="N3" i="38"/>
  <c r="N4" i="38"/>
  <c r="N5" i="38"/>
  <c r="N6" i="38"/>
  <c r="N7" i="38"/>
  <c r="N8" i="38"/>
  <c r="N9" i="38"/>
  <c r="N10" i="38"/>
  <c r="N11" i="38"/>
  <c r="N12" i="38"/>
  <c r="N13" i="38"/>
  <c r="N14" i="38"/>
  <c r="N15" i="38"/>
  <c r="N16" i="38"/>
  <c r="N17" i="38"/>
  <c r="N18" i="38"/>
  <c r="N19" i="38"/>
  <c r="N20" i="38"/>
  <c r="N21" i="38"/>
  <c r="N22" i="38"/>
  <c r="N23" i="38"/>
  <c r="N24" i="38"/>
  <c r="N25" i="38"/>
  <c r="N26" i="38"/>
  <c r="N27" i="38"/>
  <c r="N28" i="38"/>
  <c r="N29" i="38"/>
  <c r="N30" i="38"/>
  <c r="N31" i="38"/>
  <c r="N32" i="38"/>
  <c r="N33" i="38"/>
  <c r="N34" i="38"/>
  <c r="N35" i="38"/>
  <c r="N36" i="38"/>
  <c r="N37" i="38"/>
  <c r="N38" i="38"/>
  <c r="N39" i="38"/>
  <c r="N40" i="38"/>
  <c r="N41" i="38"/>
  <c r="N42" i="38"/>
  <c r="N43" i="38"/>
  <c r="N44" i="38"/>
  <c r="N45" i="38"/>
  <c r="N46" i="38"/>
  <c r="N47" i="38"/>
  <c r="N48" i="38"/>
  <c r="N49" i="38"/>
  <c r="N50" i="38"/>
  <c r="G12" i="28"/>
  <c r="J3" i="28"/>
  <c r="J7" i="28" s="1"/>
  <c r="I9" i="23" l="1"/>
  <c r="I19" i="23"/>
  <c r="Q34" i="38"/>
  <c r="Q22" i="38"/>
  <c r="Q47" i="38"/>
  <c r="Q46" i="38"/>
  <c r="Q35" i="38"/>
  <c r="Q23" i="38"/>
  <c r="Q41" i="38"/>
  <c r="Q45" i="38"/>
  <c r="Q33" i="38"/>
  <c r="Q49" i="38"/>
  <c r="Q37" i="38"/>
  <c r="Q13" i="38"/>
  <c r="Q36" i="38"/>
  <c r="Q21" i="38"/>
  <c r="Q9" i="38"/>
  <c r="Q12" i="38"/>
  <c r="Q44" i="38"/>
  <c r="Q20" i="38"/>
  <c r="Q8" i="38"/>
  <c r="Q24" i="38"/>
  <c r="Q43" i="38"/>
  <c r="Q31" i="38"/>
  <c r="Q19" i="38"/>
  <c r="Q7" i="38"/>
  <c r="Q42" i="38"/>
  <c r="Q30" i="38"/>
  <c r="Q18" i="38"/>
  <c r="Q6" i="38"/>
  <c r="Q29" i="38"/>
  <c r="Q17" i="38"/>
  <c r="Q5" i="38"/>
  <c r="Q48" i="38"/>
  <c r="Q40" i="38"/>
  <c r="Q28" i="38"/>
  <c r="Q16" i="38"/>
  <c r="Q4" i="38"/>
  <c r="Q39" i="38"/>
  <c r="Q15" i="38"/>
  <c r="Q3" i="38"/>
  <c r="Q38" i="38"/>
  <c r="Q26" i="38"/>
  <c r="Q14" i="38"/>
  <c r="Q2" i="38"/>
  <c r="M7" i="21" l="1"/>
  <c r="I56" i="13" l="1"/>
  <c r="E15" i="13"/>
  <c r="E16" i="13"/>
  <c r="E17" i="13"/>
  <c r="E18" i="13"/>
  <c r="E19" i="13"/>
  <c r="E20" i="13"/>
  <c r="E21" i="13"/>
  <c r="E22" i="13"/>
  <c r="E23" i="13"/>
  <c r="E24" i="13"/>
  <c r="E25" i="13"/>
  <c r="E56" i="13"/>
  <c r="E57" i="13"/>
  <c r="E58" i="13"/>
  <c r="E59" i="13"/>
  <c r="I57" i="13"/>
  <c r="I58" i="13"/>
  <c r="I77" i="13" l="1"/>
  <c r="J77" i="13" s="1"/>
  <c r="I69" i="13"/>
  <c r="J69" i="13" s="1"/>
  <c r="I73" i="13"/>
  <c r="J73" i="13" s="1"/>
  <c r="I70" i="13"/>
  <c r="J70" i="13" s="1"/>
  <c r="I72" i="13"/>
  <c r="J72" i="13" s="1"/>
  <c r="H57" i="13"/>
  <c r="H25" i="13"/>
  <c r="I74" i="13"/>
  <c r="J74" i="13" s="1"/>
  <c r="I75" i="13"/>
  <c r="J75" i="13" s="1"/>
  <c r="I71" i="13"/>
  <c r="J71" i="13" s="1"/>
  <c r="H58" i="13"/>
  <c r="I76" i="13"/>
  <c r="J76" i="13" s="1"/>
  <c r="I25" i="13"/>
  <c r="I78" i="13"/>
  <c r="J78" i="13" s="1"/>
  <c r="H56" i="13"/>
  <c r="D30" i="12" l="1"/>
  <c r="D31" i="12"/>
  <c r="D32" i="12"/>
  <c r="D33" i="12"/>
  <c r="A26" i="12" l="1"/>
  <c r="M10" i="43" l="1"/>
  <c r="M11" i="43" s="1"/>
  <c r="C28" i="43"/>
  <c r="G19" i="43"/>
  <c r="E28" i="43"/>
  <c r="D9" i="13"/>
  <c r="G3" i="13"/>
  <c r="F3" i="13" s="1"/>
  <c r="D28" i="43" l="1"/>
  <c r="G28" i="43"/>
  <c r="C29" i="43"/>
  <c r="F28" i="43"/>
  <c r="I79" i="13"/>
  <c r="F60" i="13"/>
  <c r="G60" i="13"/>
  <c r="P14" i="14"/>
  <c r="O14" i="14"/>
  <c r="P13" i="14"/>
  <c r="O13" i="14"/>
  <c r="P12" i="14"/>
  <c r="O12" i="14"/>
  <c r="P11" i="14"/>
  <c r="O11" i="14"/>
  <c r="P10" i="14"/>
  <c r="O10" i="14"/>
  <c r="P9" i="14"/>
  <c r="O9" i="14"/>
  <c r="P8" i="14"/>
  <c r="O8" i="14"/>
  <c r="P7" i="14"/>
  <c r="O7" i="14"/>
  <c r="P6" i="14"/>
  <c r="O6" i="14"/>
  <c r="P5" i="14"/>
  <c r="O5" i="14"/>
  <c r="P4" i="14"/>
  <c r="O4" i="14"/>
  <c r="P3" i="14"/>
  <c r="O3" i="14"/>
  <c r="C26" i="29"/>
  <c r="D26" i="29"/>
  <c r="H28" i="43" l="1"/>
  <c r="D29" i="43"/>
  <c r="R6" i="14"/>
  <c r="R12" i="14"/>
  <c r="R11" i="14"/>
  <c r="R14" i="14"/>
  <c r="R7" i="14"/>
  <c r="R8" i="14"/>
  <c r="R3" i="14"/>
  <c r="R9" i="14"/>
  <c r="R10" i="14"/>
  <c r="J79" i="13"/>
  <c r="R4" i="14"/>
  <c r="R5" i="14"/>
  <c r="R13" i="14"/>
  <c r="E14" i="14"/>
  <c r="D14" i="14"/>
  <c r="E13" i="14"/>
  <c r="D13" i="14"/>
  <c r="E12" i="14"/>
  <c r="D12" i="14"/>
  <c r="E11" i="14"/>
  <c r="D11" i="14"/>
  <c r="E10" i="14"/>
  <c r="D10" i="14"/>
  <c r="E9" i="14"/>
  <c r="D9" i="14"/>
  <c r="E8" i="14"/>
  <c r="D8" i="14"/>
  <c r="E7" i="14"/>
  <c r="D7" i="14"/>
  <c r="E6" i="14"/>
  <c r="D6" i="14"/>
  <c r="E5" i="14"/>
  <c r="D5" i="14"/>
  <c r="E4" i="14"/>
  <c r="D4" i="14"/>
  <c r="E3" i="14"/>
  <c r="D3" i="14"/>
  <c r="G19" i="23"/>
  <c r="G16" i="23"/>
  <c r="J16" i="23" l="1"/>
  <c r="H18" i="23" s="1"/>
  <c r="G14" i="14"/>
  <c r="G9" i="14"/>
  <c r="G13" i="14"/>
  <c r="G3" i="14"/>
  <c r="G6" i="14"/>
  <c r="G10" i="14"/>
  <c r="G4" i="14"/>
  <c r="G7" i="14"/>
  <c r="G11" i="14"/>
  <c r="G12" i="14"/>
  <c r="G8" i="14"/>
  <c r="G5" i="14"/>
  <c r="D36" i="12" l="1"/>
  <c r="D37" i="12"/>
  <c r="G6" i="23"/>
  <c r="J18" i="23"/>
  <c r="G9" i="23"/>
  <c r="J9" i="23" l="1"/>
  <c r="J19" i="23"/>
  <c r="H21" i="23" s="1"/>
  <c r="J21" i="23" s="1"/>
  <c r="G17" i="23"/>
  <c r="J17" i="23" s="1"/>
  <c r="J6" i="23"/>
  <c r="G7" i="23" s="1"/>
  <c r="J7" i="23" s="1"/>
  <c r="H8" i="23" l="1"/>
  <c r="J8" i="23" s="1"/>
  <c r="I10" i="23"/>
  <c r="I20" i="23"/>
  <c r="J20" i="23" s="1"/>
  <c r="H11" i="23" l="1"/>
  <c r="J11" i="23" s="1"/>
  <c r="J10" i="23"/>
  <c r="M4" i="21"/>
  <c r="G51" i="38"/>
  <c r="F14" i="7" l="1"/>
  <c r="F13" i="7"/>
  <c r="H3" i="28" l="1"/>
  <c r="G6" i="28"/>
  <c r="G4" i="28"/>
  <c r="O10" i="38" l="1"/>
  <c r="P10" i="38" s="1"/>
  <c r="Q10" i="38" s="1"/>
  <c r="J4" i="28"/>
  <c r="O11" i="38"/>
  <c r="P11" i="38" s="1"/>
  <c r="Q11" i="38" s="1"/>
  <c r="O27" i="38"/>
  <c r="P27" i="38" s="1"/>
  <c r="Q27" i="38" s="1"/>
  <c r="O32" i="38"/>
  <c r="P32" i="38" s="1"/>
  <c r="Q32" i="38" s="1"/>
  <c r="O50" i="38"/>
  <c r="P50" i="38" s="1"/>
  <c r="Q50" i="38" s="1"/>
  <c r="O25" i="38"/>
  <c r="P25" i="38" s="1"/>
  <c r="Q25" i="38" s="1"/>
  <c r="J6" i="28"/>
  <c r="H4" i="28"/>
  <c r="K42" i="38"/>
  <c r="L42" i="38" s="1"/>
  <c r="W42" i="38" s="1"/>
  <c r="K44" i="38"/>
  <c r="L44" i="38" s="1"/>
  <c r="W44" i="38" s="1"/>
  <c r="K45" i="38"/>
  <c r="L45" i="38" s="1"/>
  <c r="W45" i="38" s="1"/>
  <c r="K46" i="38"/>
  <c r="L46" i="38" s="1"/>
  <c r="W46" i="38" s="1"/>
  <c r="K47" i="38"/>
  <c r="L47" i="38" s="1"/>
  <c r="W47" i="38" s="1"/>
  <c r="K48" i="38"/>
  <c r="L48" i="38" s="1"/>
  <c r="W48" i="38" s="1"/>
  <c r="K49" i="38"/>
  <c r="L49" i="38" s="1"/>
  <c r="W49" i="38" s="1"/>
  <c r="K12" i="38"/>
  <c r="L12" i="38" s="1"/>
  <c r="W12" i="38" s="1"/>
  <c r="K24" i="38"/>
  <c r="L24" i="38" s="1"/>
  <c r="W24" i="38" s="1"/>
  <c r="K23" i="38"/>
  <c r="L23" i="38" s="1"/>
  <c r="W23" i="38" s="1"/>
  <c r="K13" i="38"/>
  <c r="L13" i="38" s="1"/>
  <c r="W13" i="38" s="1"/>
  <c r="K18" i="38"/>
  <c r="L18" i="38" s="1"/>
  <c r="W18" i="38" s="1"/>
  <c r="K20" i="38"/>
  <c r="L20" i="38" s="1"/>
  <c r="W20" i="38" s="1"/>
  <c r="K22" i="38"/>
  <c r="L22" i="38" s="1"/>
  <c r="W22" i="38" s="1"/>
  <c r="K14" i="38"/>
  <c r="L14" i="38" s="1"/>
  <c r="W14" i="38" s="1"/>
  <c r="K15" i="38"/>
  <c r="L15" i="38" s="1"/>
  <c r="W15" i="38" s="1"/>
  <c r="K16" i="38"/>
  <c r="L16" i="38" s="1"/>
  <c r="W16" i="38" s="1"/>
  <c r="K17" i="38"/>
  <c r="L17" i="38" s="1"/>
  <c r="W17" i="38" s="1"/>
  <c r="K19" i="38"/>
  <c r="L19" i="38" s="1"/>
  <c r="W19" i="38" s="1"/>
  <c r="K21" i="38"/>
  <c r="L21" i="38" s="1"/>
  <c r="W21" i="38" s="1"/>
  <c r="M42" i="38"/>
  <c r="G7" i="28"/>
  <c r="H7" i="28" s="1"/>
  <c r="H6" i="28"/>
  <c r="G5" i="28"/>
  <c r="H5" i="28" l="1"/>
  <c r="J5" i="28"/>
  <c r="M24" i="38"/>
  <c r="M19" i="38"/>
  <c r="M49" i="38"/>
  <c r="M21" i="38"/>
  <c r="M48" i="38"/>
  <c r="M47" i="38"/>
  <c r="M16" i="38"/>
  <c r="M15" i="38"/>
  <c r="M46" i="38"/>
  <c r="M12" i="38"/>
  <c r="M22" i="38"/>
  <c r="M44" i="38"/>
  <c r="M45" i="38"/>
  <c r="M20" i="38"/>
  <c r="M17" i="38"/>
  <c r="M14" i="38"/>
  <c r="K50" i="38"/>
  <c r="L50" i="38" s="1"/>
  <c r="K25" i="38"/>
  <c r="L25" i="38" s="1"/>
  <c r="W25" i="38" s="1"/>
  <c r="M18" i="38"/>
  <c r="M13" i="38"/>
  <c r="M23" i="38"/>
  <c r="K10" i="38"/>
  <c r="L10" i="38" s="1"/>
  <c r="K11" i="38"/>
  <c r="L11" i="38" s="1"/>
  <c r="AB42" i="38"/>
  <c r="AA42" i="38"/>
  <c r="M3" i="21"/>
  <c r="M5" i="21"/>
  <c r="M6" i="21"/>
  <c r="M8" i="21"/>
  <c r="K2" i="38"/>
  <c r="L2" i="38" s="1"/>
  <c r="W2" i="38" s="1"/>
  <c r="K3" i="38"/>
  <c r="L3" i="38" s="1"/>
  <c r="W3" i="38" s="1"/>
  <c r="K4" i="38"/>
  <c r="L4" i="38" s="1"/>
  <c r="W4" i="38" s="1"/>
  <c r="K5" i="38"/>
  <c r="L5" i="38" s="1"/>
  <c r="W5" i="38" s="1"/>
  <c r="K6" i="38"/>
  <c r="L6" i="38" s="1"/>
  <c r="W6" i="38" s="1"/>
  <c r="K7" i="38"/>
  <c r="L7" i="38" s="1"/>
  <c r="W7" i="38" s="1"/>
  <c r="K8" i="38"/>
  <c r="L8" i="38" s="1"/>
  <c r="W8" i="38" s="1"/>
  <c r="K9" i="38"/>
  <c r="L9" i="38" s="1"/>
  <c r="W9" i="38" s="1"/>
  <c r="K26" i="38"/>
  <c r="L26" i="38" s="1"/>
  <c r="W26" i="38" s="1"/>
  <c r="K27" i="38"/>
  <c r="L27" i="38" s="1"/>
  <c r="W27" i="38" s="1"/>
  <c r="K28" i="38"/>
  <c r="L28" i="38" s="1"/>
  <c r="W28" i="38" s="1"/>
  <c r="K29" i="38"/>
  <c r="L29" i="38" s="1"/>
  <c r="W29" i="38" s="1"/>
  <c r="K30" i="38"/>
  <c r="L30" i="38" s="1"/>
  <c r="W30" i="38" s="1"/>
  <c r="K31" i="38"/>
  <c r="L31" i="38" s="1"/>
  <c r="W31" i="38" s="1"/>
  <c r="K32" i="38"/>
  <c r="L32" i="38" s="1"/>
  <c r="W32" i="38" s="1"/>
  <c r="K33" i="38"/>
  <c r="L33" i="38" s="1"/>
  <c r="W33" i="38" s="1"/>
  <c r="K34" i="38"/>
  <c r="L34" i="38" s="1"/>
  <c r="W34" i="38" s="1"/>
  <c r="K35" i="38"/>
  <c r="L35" i="38" s="1"/>
  <c r="W35" i="38" s="1"/>
  <c r="K36" i="38"/>
  <c r="L36" i="38" s="1"/>
  <c r="W36" i="38" s="1"/>
  <c r="K37" i="38"/>
  <c r="L37" i="38" s="1"/>
  <c r="W37" i="38" s="1"/>
  <c r="K38" i="38"/>
  <c r="L38" i="38" s="1"/>
  <c r="W38" i="38" s="1"/>
  <c r="K39" i="38"/>
  <c r="L39" i="38" s="1"/>
  <c r="W39" i="38" s="1"/>
  <c r="K40" i="38"/>
  <c r="L40" i="38" s="1"/>
  <c r="W40" i="38" s="1"/>
  <c r="K41" i="38"/>
  <c r="K43" i="38"/>
  <c r="I7" i="28"/>
  <c r="I5" i="28"/>
  <c r="W50" i="38" l="1"/>
  <c r="M50" i="38"/>
  <c r="M11" i="38"/>
  <c r="W11" i="38"/>
  <c r="M10" i="38"/>
  <c r="W10" i="38"/>
  <c r="M25" i="38"/>
  <c r="AB44" i="38"/>
  <c r="AA44" i="38"/>
  <c r="AA47" i="38"/>
  <c r="AB47" i="38"/>
  <c r="AB14" i="38"/>
  <c r="AA14" i="38"/>
  <c r="AA22" i="38"/>
  <c r="AB22" i="38"/>
  <c r="AB48" i="38"/>
  <c r="AA48" i="38"/>
  <c r="AA12" i="38"/>
  <c r="AB12" i="38"/>
  <c r="AA21" i="38"/>
  <c r="AB21" i="38"/>
  <c r="AA23" i="38"/>
  <c r="AB23" i="38"/>
  <c r="AA17" i="38"/>
  <c r="AB17" i="38"/>
  <c r="AA46" i="38"/>
  <c r="AB46" i="38"/>
  <c r="AA49" i="38"/>
  <c r="AB49" i="38"/>
  <c r="AB13" i="38"/>
  <c r="AA13" i="38"/>
  <c r="AB20" i="38"/>
  <c r="AA20" i="38"/>
  <c r="AB15" i="38"/>
  <c r="AA15" i="38"/>
  <c r="AA19" i="38"/>
  <c r="AB19" i="38"/>
  <c r="AA18" i="38"/>
  <c r="AB18" i="38"/>
  <c r="AB45" i="38"/>
  <c r="AA45" i="38"/>
  <c r="AB16" i="38"/>
  <c r="AA16" i="38"/>
  <c r="AA24" i="38"/>
  <c r="AB24" i="38"/>
  <c r="C9" i="21"/>
  <c r="AA2" i="38"/>
  <c r="AB40" i="38"/>
  <c r="AA38" i="38"/>
  <c r="AA34" i="38"/>
  <c r="AA9" i="38"/>
  <c r="AB5" i="38"/>
  <c r="AA32" i="38"/>
  <c r="AB30" i="38"/>
  <c r="AB39" i="38"/>
  <c r="AA37" i="38"/>
  <c r="AA33" i="38"/>
  <c r="AA29" i="38"/>
  <c r="AA28" i="38"/>
  <c r="AA8" i="38"/>
  <c r="AB3" i="38"/>
  <c r="AA4" i="38"/>
  <c r="M35" i="38"/>
  <c r="M26" i="38"/>
  <c r="M40" i="38"/>
  <c r="M38" i="38"/>
  <c r="M34" i="38"/>
  <c r="M30" i="38"/>
  <c r="M9" i="38"/>
  <c r="M5" i="38"/>
  <c r="M31" i="38"/>
  <c r="M6" i="38"/>
  <c r="M27" i="38"/>
  <c r="M39" i="38"/>
  <c r="M29" i="38"/>
  <c r="M4" i="38"/>
  <c r="M37" i="38"/>
  <c r="M28" i="38"/>
  <c r="M36" i="38"/>
  <c r="M33" i="38"/>
  <c r="M8" i="38"/>
  <c r="M7" i="38"/>
  <c r="M32" i="38"/>
  <c r="M3" i="38"/>
  <c r="M2" i="38"/>
  <c r="AB11" i="38" l="1"/>
  <c r="AA11" i="38"/>
  <c r="AA50" i="38"/>
  <c r="AB50" i="38"/>
  <c r="AB10" i="38"/>
  <c r="AA10" i="38"/>
  <c r="AB25" i="38"/>
  <c r="AA25" i="38"/>
  <c r="AA39" i="38"/>
  <c r="AB32" i="38"/>
  <c r="AA3" i="38"/>
  <c r="AB4" i="38"/>
  <c r="AA30" i="38"/>
  <c r="AB8" i="38"/>
  <c r="AB29" i="38"/>
  <c r="AB34" i="38"/>
  <c r="AB2" i="38"/>
  <c r="AB38" i="38"/>
  <c r="AA5" i="38"/>
  <c r="AB37" i="38"/>
  <c r="AA40" i="38"/>
  <c r="AB33" i="38"/>
  <c r="AA27" i="38"/>
  <c r="AB27" i="38"/>
  <c r="AA36" i="38"/>
  <c r="AB36" i="38"/>
  <c r="AB9" i="38"/>
  <c r="AA7" i="38"/>
  <c r="AB7" i="38"/>
  <c r="AB28" i="38"/>
  <c r="AB26" i="38"/>
  <c r="AA26" i="38"/>
  <c r="AB31" i="38"/>
  <c r="AA31" i="38"/>
  <c r="AB6" i="38"/>
  <c r="AA6" i="38"/>
  <c r="AB35" i="38"/>
  <c r="AA35" i="38"/>
  <c r="B22" i="28" l="1"/>
  <c r="C22" i="28"/>
  <c r="D22" i="28"/>
  <c r="E4" i="40"/>
  <c r="F28" i="40"/>
  <c r="E20" i="40"/>
  <c r="F26" i="40"/>
  <c r="E28" i="40"/>
  <c r="F20" i="40"/>
  <c r="E26" i="40"/>
  <c r="F4" i="40"/>
  <c r="L9" i="21" l="1"/>
  <c r="M9" i="21" l="1"/>
  <c r="D15" i="28" l="1"/>
  <c r="D16" i="28"/>
  <c r="D17" i="28"/>
  <c r="D18" i="28"/>
  <c r="D19" i="28"/>
  <c r="D20" i="28"/>
  <c r="D21" i="28"/>
  <c r="D4" i="28"/>
  <c r="D5" i="28"/>
  <c r="D6" i="28"/>
  <c r="D7" i="28"/>
  <c r="D8" i="28"/>
  <c r="D9" i="28"/>
  <c r="D10" i="28"/>
  <c r="D11" i="28"/>
  <c r="D12" i="28"/>
  <c r="D13" i="28"/>
  <c r="D14" i="28"/>
  <c r="D3" i="28"/>
  <c r="F31" i="40" l="1"/>
  <c r="E31" i="40"/>
  <c r="L43" i="38" l="1"/>
  <c r="W43" i="38" s="1"/>
  <c r="L41" i="38"/>
  <c r="W41" i="38" s="1"/>
  <c r="W51" i="38" s="1"/>
  <c r="L51" i="38" l="1"/>
  <c r="C13" i="7" s="1"/>
  <c r="M41" i="38"/>
  <c r="M43" i="38"/>
  <c r="G4" i="13"/>
  <c r="F4" i="13" s="1"/>
  <c r="G5" i="13"/>
  <c r="F5" i="13" s="1"/>
  <c r="G7" i="13"/>
  <c r="F7" i="13" s="1"/>
  <c r="G8" i="13"/>
  <c r="F8" i="13" s="1"/>
  <c r="M51" i="38" l="1"/>
  <c r="C16" i="43" s="1"/>
  <c r="AB41" i="38"/>
  <c r="AA41" i="38"/>
  <c r="AA43" i="38"/>
  <c r="AB43" i="38"/>
  <c r="C17" i="43" l="1"/>
  <c r="C18" i="43" s="1"/>
  <c r="AA51" i="38"/>
  <c r="AB51" i="38"/>
  <c r="I24" i="13"/>
  <c r="I59" i="13"/>
  <c r="I23" i="13"/>
  <c r="H59" i="13"/>
  <c r="H24" i="13"/>
  <c r="H23" i="13"/>
  <c r="I61" i="13" l="1"/>
  <c r="H61" i="13"/>
  <c r="J82" i="13"/>
  <c r="I82" i="13"/>
  <c r="E14" i="13"/>
  <c r="C30" i="12"/>
  <c r="E60" i="13" l="1"/>
  <c r="F46" i="12"/>
  <c r="E36" i="12"/>
  <c r="I22" i="13" l="1"/>
  <c r="I21" i="13"/>
  <c r="I20" i="13"/>
  <c r="I19" i="13"/>
  <c r="I18" i="13"/>
  <c r="I17" i="13"/>
  <c r="I16" i="13"/>
  <c r="I15" i="13"/>
  <c r="I14" i="13"/>
  <c r="H22" i="13"/>
  <c r="H21" i="13"/>
  <c r="H20" i="13"/>
  <c r="H19" i="13"/>
  <c r="H18" i="13"/>
  <c r="H17" i="13"/>
  <c r="H16" i="13"/>
  <c r="H15" i="13"/>
  <c r="I60" i="13" l="1"/>
  <c r="I62" i="13" s="1"/>
  <c r="G28" i="7"/>
  <c r="E52" i="12"/>
  <c r="G42" i="7" s="1"/>
  <c r="E54" i="12"/>
  <c r="G41" i="7" s="1"/>
  <c r="E55" i="12"/>
  <c r="E53" i="12"/>
  <c r="G46" i="12"/>
  <c r="F47" i="12"/>
  <c r="G47" i="12" s="1"/>
  <c r="C36" i="12"/>
  <c r="F36" i="12" s="1"/>
  <c r="C31" i="12"/>
  <c r="E30" i="12"/>
  <c r="B26" i="12" s="1"/>
  <c r="E2" i="12"/>
  <c r="D2" i="12"/>
  <c r="F2" i="12"/>
  <c r="C2" i="12"/>
  <c r="A30" i="12"/>
  <c r="A36" i="12" s="1"/>
  <c r="A40" i="12" s="1"/>
  <c r="A46" i="12" s="1"/>
  <c r="A52" i="12" s="1"/>
  <c r="A61" i="12" s="1"/>
  <c r="I47" i="12" l="1"/>
  <c r="J47" i="12" s="1"/>
  <c r="I46" i="12"/>
  <c r="J46" i="12" s="1"/>
  <c r="E31" i="12"/>
  <c r="C26" i="12" s="1"/>
  <c r="D26" i="12"/>
  <c r="G32" i="7"/>
  <c r="G2" i="12"/>
  <c r="G40" i="7"/>
  <c r="G38" i="7" l="1"/>
  <c r="F26" i="12"/>
  <c r="C41" i="12"/>
  <c r="E41" i="12" s="1"/>
  <c r="G36" i="7" s="1"/>
  <c r="G39" i="7"/>
  <c r="C40" i="12"/>
  <c r="E40" i="12" s="1"/>
  <c r="G35" i="7" s="1"/>
  <c r="G33" i="7"/>
  <c r="B21" i="28"/>
  <c r="C21" i="28"/>
  <c r="C3" i="28"/>
  <c r="C4" i="28"/>
  <c r="C5" i="28"/>
  <c r="C6" i="28"/>
  <c r="C7" i="28"/>
  <c r="C8" i="28"/>
  <c r="C9" i="28"/>
  <c r="C10" i="28"/>
  <c r="C11" i="28"/>
  <c r="C12" i="28"/>
  <c r="C13" i="28"/>
  <c r="C14" i="28"/>
  <c r="C15" i="28"/>
  <c r="C16" i="28"/>
  <c r="C17" i="28"/>
  <c r="C18" i="28"/>
  <c r="C19" i="28"/>
  <c r="C20" i="28"/>
  <c r="G37" i="7" l="1"/>
  <c r="G48" i="7" s="1"/>
  <c r="G34" i="7"/>
  <c r="G47" i="7" s="1"/>
  <c r="E26" i="12"/>
  <c r="G26" i="12" s="1"/>
  <c r="F16" i="23" s="1"/>
  <c r="K16" i="23" s="1"/>
  <c r="G52" i="7" s="1"/>
  <c r="G31" i="7"/>
  <c r="G46" i="7" s="1"/>
  <c r="B4" i="28"/>
  <c r="B5" i="28"/>
  <c r="B6" i="28"/>
  <c r="B7" i="28"/>
  <c r="B8" i="28"/>
  <c r="B9" i="28"/>
  <c r="B10" i="28"/>
  <c r="B11" i="28"/>
  <c r="B12" i="28"/>
  <c r="B13" i="28"/>
  <c r="B14" i="28"/>
  <c r="B15" i="28"/>
  <c r="B16" i="28"/>
  <c r="B17" i="28"/>
  <c r="B18" i="28"/>
  <c r="B19" i="28"/>
  <c r="B20" i="28"/>
  <c r="B3" i="28"/>
  <c r="G45" i="7" l="1"/>
  <c r="G87" i="7" s="1"/>
  <c r="F17" i="23"/>
  <c r="K17" i="23" s="1"/>
  <c r="G53" i="7" s="1"/>
  <c r="F18" i="23"/>
  <c r="K18" i="23" s="1"/>
  <c r="G54" i="7" s="1"/>
  <c r="F21" i="23"/>
  <c r="K21" i="23" s="1"/>
  <c r="G57" i="7" s="1"/>
  <c r="F20" i="23"/>
  <c r="K20" i="23" s="1"/>
  <c r="G56" i="7" s="1"/>
  <c r="F19" i="23"/>
  <c r="K19" i="23" s="1"/>
  <c r="G55" i="7" s="1"/>
  <c r="E9" i="21"/>
  <c r="K22" i="23" l="1"/>
  <c r="H5" i="14" s="1"/>
  <c r="I5" i="14" s="1"/>
  <c r="G63" i="7" s="1"/>
  <c r="G51" i="7"/>
  <c r="G88" i="7" s="1"/>
  <c r="H14" i="13"/>
  <c r="H60" i="13" s="1"/>
  <c r="H62" i="13" s="1"/>
  <c r="C87" i="13" l="1"/>
  <c r="C88" i="13"/>
  <c r="H3" i="14"/>
  <c r="I3" i="14" s="1"/>
  <c r="G61" i="7" s="1"/>
  <c r="H8" i="14"/>
  <c r="I8" i="14" s="1"/>
  <c r="H14" i="14"/>
  <c r="I14" i="14" s="1"/>
  <c r="H12" i="14"/>
  <c r="I12" i="14" s="1"/>
  <c r="H7" i="14"/>
  <c r="I7" i="14" s="1"/>
  <c r="G65" i="7" s="1"/>
  <c r="H13" i="14"/>
  <c r="I13" i="14" s="1"/>
  <c r="H10" i="14"/>
  <c r="I10" i="14" s="1"/>
  <c r="H6" i="14"/>
  <c r="I6" i="14" s="1"/>
  <c r="G64" i="7" s="1"/>
  <c r="H11" i="14"/>
  <c r="I11" i="14" s="1"/>
  <c r="H4" i="14"/>
  <c r="I4" i="14" s="1"/>
  <c r="G62" i="7" s="1"/>
  <c r="H9" i="14"/>
  <c r="I9" i="14" s="1"/>
  <c r="M10" i="21"/>
  <c r="M11" i="21" s="1"/>
  <c r="G66" i="7" l="1"/>
  <c r="G60" i="7" s="1"/>
  <c r="G89" i="7" s="1"/>
  <c r="I15" i="14"/>
  <c r="G71" i="7" l="1"/>
  <c r="C71" i="7"/>
  <c r="F9" i="13"/>
  <c r="D88" i="13" l="1"/>
  <c r="C70" i="7" s="1"/>
  <c r="D87" i="13"/>
  <c r="G70" i="7" s="1"/>
  <c r="I68" i="13"/>
  <c r="J68" i="13" l="1"/>
  <c r="I81" i="13"/>
  <c r="I83" i="13" s="1"/>
  <c r="J67" i="13"/>
  <c r="J81" i="13" s="1"/>
  <c r="J83" i="13" s="1"/>
  <c r="E87" i="13" l="1"/>
  <c r="E88" i="13"/>
  <c r="C73" i="7" s="1"/>
  <c r="G9" i="13"/>
  <c r="A37" i="12"/>
  <c r="A42" i="12" s="1"/>
  <c r="A48" i="12" s="1"/>
  <c r="A55" i="12" s="1"/>
  <c r="C41" i="7" l="1"/>
  <c r="C40" i="7"/>
  <c r="F49" i="12" l="1"/>
  <c r="G49" i="12" s="1"/>
  <c r="I49" i="12" s="1"/>
  <c r="F48" i="12"/>
  <c r="E37" i="12"/>
  <c r="G48" i="12"/>
  <c r="I48" i="12" s="1"/>
  <c r="F3" i="12"/>
  <c r="G27" i="7" s="1"/>
  <c r="G86" i="7" s="1"/>
  <c r="A27" i="12"/>
  <c r="J48" i="12" l="1"/>
  <c r="C42" i="7"/>
  <c r="C3" i="12"/>
  <c r="E3" i="12"/>
  <c r="D3" i="12"/>
  <c r="C28" i="7"/>
  <c r="C27" i="7" s="1"/>
  <c r="C86" i="7" s="1"/>
  <c r="J49" i="12"/>
  <c r="F27" i="12" l="1"/>
  <c r="C39" i="7"/>
  <c r="G3" i="12"/>
  <c r="C33" i="12" l="1"/>
  <c r="E33" i="12" s="1"/>
  <c r="C27" i="12" s="1"/>
  <c r="C32" i="12"/>
  <c r="E32" i="12" s="1"/>
  <c r="B27" i="12" s="1"/>
  <c r="C37" i="12"/>
  <c r="F37" i="12" s="1"/>
  <c r="D27" i="12" s="1"/>
  <c r="C38" i="7"/>
  <c r="F7" i="23" l="1"/>
  <c r="K7" i="23" s="1"/>
  <c r="C53" i="7" s="1"/>
  <c r="F8" i="23"/>
  <c r="K8" i="23" s="1"/>
  <c r="C54" i="7" s="1"/>
  <c r="F6" i="23"/>
  <c r="K6" i="23" s="1"/>
  <c r="C52" i="7" s="1"/>
  <c r="F11" i="23"/>
  <c r="K11" i="23" s="1"/>
  <c r="C57" i="7" s="1"/>
  <c r="F10" i="23"/>
  <c r="K10" i="23" s="1"/>
  <c r="C56" i="7" s="1"/>
  <c r="F9" i="23"/>
  <c r="K9" i="23" s="1"/>
  <c r="C55" i="7" s="1"/>
  <c r="C42" i="12"/>
  <c r="E42" i="12" s="1"/>
  <c r="C37" i="7"/>
  <c r="C48" i="7" s="1"/>
  <c r="C32" i="7"/>
  <c r="C33" i="7"/>
  <c r="C43" i="12"/>
  <c r="E43" i="12" s="1"/>
  <c r="C51" i="7" l="1"/>
  <c r="C88" i="7" s="1"/>
  <c r="K12" i="23"/>
  <c r="C36" i="7"/>
  <c r="E27" i="12"/>
  <c r="C31" i="7"/>
  <c r="C46" i="7" s="1"/>
  <c r="C35" i="7"/>
  <c r="G27" i="12" l="1"/>
  <c r="S6" i="14" s="1"/>
  <c r="T6" i="14" s="1"/>
  <c r="C64" i="7" s="1"/>
  <c r="C34" i="7"/>
  <c r="C47" i="7" s="1"/>
  <c r="S11" i="14" l="1"/>
  <c r="T11" i="14" s="1"/>
  <c r="S9" i="14"/>
  <c r="T9" i="14" s="1"/>
  <c r="S13" i="14"/>
  <c r="T13" i="14" s="1"/>
  <c r="S7" i="14"/>
  <c r="T7" i="14" s="1"/>
  <c r="C65" i="7" s="1"/>
  <c r="S14" i="14"/>
  <c r="T14" i="14" s="1"/>
  <c r="S8" i="14"/>
  <c r="T8" i="14" s="1"/>
  <c r="S10" i="14"/>
  <c r="T10" i="14" s="1"/>
  <c r="S12" i="14"/>
  <c r="T12" i="14" s="1"/>
  <c r="S3" i="14"/>
  <c r="T3" i="14" s="1"/>
  <c r="C61" i="7" s="1"/>
  <c r="S5" i="14"/>
  <c r="T5" i="14" s="1"/>
  <c r="C63" i="7" s="1"/>
  <c r="S4" i="14"/>
  <c r="T4" i="14" s="1"/>
  <c r="C62" i="7" s="1"/>
  <c r="C45" i="7"/>
  <c r="C87" i="7" s="1"/>
  <c r="C66" i="7" l="1"/>
  <c r="C60" i="7" s="1"/>
  <c r="C89" i="7" s="1"/>
  <c r="T15" i="14"/>
  <c r="C69" i="7" l="1"/>
  <c r="C90" i="7" s="1"/>
  <c r="F88" i="13"/>
  <c r="B66" i="12" s="1"/>
  <c r="G73" i="7" l="1"/>
  <c r="G69" i="7" s="1"/>
  <c r="G90" i="7" s="1"/>
  <c r="F87" i="13"/>
  <c r="B75" i="12" s="1"/>
  <c r="D75" i="12" s="1"/>
  <c r="B61" i="12" s="1"/>
  <c r="B76" i="12" l="1"/>
  <c r="D66" i="12"/>
  <c r="B62" i="12" s="1"/>
  <c r="B67" i="12" l="1"/>
  <c r="D67" i="12" s="1"/>
  <c r="C62" i="12" s="1"/>
  <c r="C79" i="7" s="1"/>
  <c r="D76" i="12"/>
  <c r="B78" i="12" s="1"/>
  <c r="G78" i="7"/>
  <c r="B77" i="12" l="1"/>
  <c r="B80" i="12"/>
  <c r="B79" i="12"/>
  <c r="C78" i="7"/>
  <c r="B68" i="12"/>
  <c r="D68" i="12" s="1"/>
  <c r="C61" i="12"/>
  <c r="G79" i="7" s="1"/>
  <c r="B69" i="12"/>
  <c r="D69" i="12" s="1"/>
  <c r="C81" i="7" s="1"/>
  <c r="B71" i="12"/>
  <c r="D71" i="12" s="1"/>
  <c r="C83" i="7" s="1"/>
  <c r="B70" i="12"/>
  <c r="D70" i="12" s="1"/>
  <c r="C82" i="7" s="1"/>
  <c r="D62" i="12" l="1"/>
  <c r="C80" i="7" s="1"/>
  <c r="C77" i="7" s="1"/>
  <c r="C91" i="7" s="1"/>
  <c r="C92" i="7" s="1"/>
  <c r="G14" i="7" s="1"/>
  <c r="D16" i="43" s="1"/>
  <c r="D77" i="12"/>
  <c r="E16" i="43" l="1"/>
  <c r="R42" i="38"/>
  <c r="T42" i="38" s="1"/>
  <c r="R44" i="38"/>
  <c r="T44" i="38" s="1"/>
  <c r="R48" i="38"/>
  <c r="T48" i="38" s="1"/>
  <c r="R45" i="38"/>
  <c r="T45" i="38" s="1"/>
  <c r="R49" i="38"/>
  <c r="T49" i="38" s="1"/>
  <c r="R47" i="38"/>
  <c r="T47" i="38" s="1"/>
  <c r="R46" i="38"/>
  <c r="T46" i="38" s="1"/>
  <c r="R50" i="38"/>
  <c r="T50" i="38" s="1"/>
  <c r="R10" i="38"/>
  <c r="T10" i="38" s="1"/>
  <c r="R14" i="38"/>
  <c r="T14" i="38" s="1"/>
  <c r="R18" i="38"/>
  <c r="T18" i="38" s="1"/>
  <c r="R22" i="38"/>
  <c r="T22" i="38" s="1"/>
  <c r="R17" i="38"/>
  <c r="T17" i="38" s="1"/>
  <c r="R25" i="38"/>
  <c r="T25" i="38" s="1"/>
  <c r="R11" i="38"/>
  <c r="T11" i="38" s="1"/>
  <c r="R15" i="38"/>
  <c r="T15" i="38" s="1"/>
  <c r="R19" i="38"/>
  <c r="T19" i="38" s="1"/>
  <c r="R23" i="38"/>
  <c r="T23" i="38" s="1"/>
  <c r="R21" i="38"/>
  <c r="T21" i="38" s="1"/>
  <c r="R12" i="38"/>
  <c r="T12" i="38" s="1"/>
  <c r="R16" i="38"/>
  <c r="T16" i="38" s="1"/>
  <c r="R20" i="38"/>
  <c r="T20" i="38" s="1"/>
  <c r="R24" i="38"/>
  <c r="T24" i="38" s="1"/>
  <c r="R13" i="38"/>
  <c r="T13" i="38" s="1"/>
  <c r="E62" i="12"/>
  <c r="D61" i="12"/>
  <c r="G80" i="7" s="1"/>
  <c r="G77" i="7" s="1"/>
  <c r="G91" i="7" s="1"/>
  <c r="G92" i="7" s="1"/>
  <c r="R41" i="38"/>
  <c r="T41" i="38" s="1"/>
  <c r="R35" i="38"/>
  <c r="T35" i="38" s="1"/>
  <c r="R3" i="38"/>
  <c r="T3" i="38" s="1"/>
  <c r="R37" i="38"/>
  <c r="T37" i="38" s="1"/>
  <c r="R40" i="38"/>
  <c r="T40" i="38" s="1"/>
  <c r="R7" i="38"/>
  <c r="T7" i="38" s="1"/>
  <c r="R4" i="38"/>
  <c r="T4" i="38" s="1"/>
  <c r="R2" i="38"/>
  <c r="R27" i="38"/>
  <c r="T27" i="38" s="1"/>
  <c r="R8" i="38"/>
  <c r="T8" i="38" s="1"/>
  <c r="R5" i="38"/>
  <c r="T5" i="38" s="1"/>
  <c r="R28" i="38"/>
  <c r="T28" i="38" s="1"/>
  <c r="R9" i="38"/>
  <c r="T9" i="38" s="1"/>
  <c r="R32" i="38"/>
  <c r="T32" i="38" s="1"/>
  <c r="R29" i="38"/>
  <c r="T29" i="38" s="1"/>
  <c r="R34" i="38"/>
  <c r="T34" i="38" s="1"/>
  <c r="R36" i="38"/>
  <c r="T36" i="38" s="1"/>
  <c r="R33" i="38"/>
  <c r="T33" i="38" s="1"/>
  <c r="R30" i="38"/>
  <c r="T30" i="38" s="1"/>
  <c r="R43" i="38"/>
  <c r="T43" i="38" s="1"/>
  <c r="R26" i="38"/>
  <c r="T26" i="38" s="1"/>
  <c r="R39" i="38"/>
  <c r="T39" i="38" s="1"/>
  <c r="R6" i="38"/>
  <c r="T6" i="38" s="1"/>
  <c r="R38" i="38"/>
  <c r="T38" i="38" s="1"/>
  <c r="R31" i="38"/>
  <c r="T31" i="38" s="1"/>
  <c r="G16" i="43" l="1"/>
  <c r="E25" i="43"/>
  <c r="X55" i="38"/>
  <c r="X22" i="38"/>
  <c r="X13" i="38"/>
  <c r="X10" i="38"/>
  <c r="X20" i="38"/>
  <c r="X50" i="38"/>
  <c r="X30" i="38"/>
  <c r="X33" i="38"/>
  <c r="X34" i="38"/>
  <c r="X21" i="38"/>
  <c r="X46" i="38"/>
  <c r="X24" i="38"/>
  <c r="X16" i="38"/>
  <c r="X29" i="38"/>
  <c r="X23" i="38"/>
  <c r="X47" i="38"/>
  <c r="X27" i="38"/>
  <c r="T2" i="38"/>
  <c r="T51" i="38" s="1"/>
  <c r="R51" i="38"/>
  <c r="X36" i="38"/>
  <c r="X35" i="38"/>
  <c r="X49" i="38"/>
  <c r="X43" i="38"/>
  <c r="X40" i="38"/>
  <c r="X3" i="38"/>
  <c r="X9" i="38"/>
  <c r="X45" i="38"/>
  <c r="X14" i="38"/>
  <c r="X32" i="38"/>
  <c r="X41" i="38"/>
  <c r="X38" i="38"/>
  <c r="X28" i="38"/>
  <c r="X11" i="38"/>
  <c r="X48" i="38"/>
  <c r="X18" i="38"/>
  <c r="X7" i="38"/>
  <c r="X37" i="38"/>
  <c r="X19" i="38"/>
  <c r="X6" i="38"/>
  <c r="X25" i="38"/>
  <c r="X44" i="38"/>
  <c r="X26" i="38"/>
  <c r="X4" i="38"/>
  <c r="X12" i="38"/>
  <c r="X31" i="38"/>
  <c r="X15" i="38"/>
  <c r="X5" i="38"/>
  <c r="X39" i="38"/>
  <c r="X8" i="38"/>
  <c r="X17" i="38"/>
  <c r="X42" i="38"/>
  <c r="E61" i="12"/>
  <c r="S42" i="38"/>
  <c r="U42" i="38" s="1"/>
  <c r="S45" i="38"/>
  <c r="U45" i="38" s="1"/>
  <c r="S49" i="38"/>
  <c r="U49" i="38" s="1"/>
  <c r="S48" i="38"/>
  <c r="U48" i="38" s="1"/>
  <c r="S46" i="38"/>
  <c r="U46" i="38" s="1"/>
  <c r="S50" i="38"/>
  <c r="U50" i="38" s="1"/>
  <c r="S47" i="38"/>
  <c r="U47" i="38" s="1"/>
  <c r="S44" i="38"/>
  <c r="U44" i="38" s="1"/>
  <c r="S10" i="38"/>
  <c r="U10" i="38" s="1"/>
  <c r="S14" i="38"/>
  <c r="U14" i="38" s="1"/>
  <c r="S18" i="38"/>
  <c r="U18" i="38" s="1"/>
  <c r="S22" i="38"/>
  <c r="U22" i="38" s="1"/>
  <c r="S11" i="38"/>
  <c r="U11" i="38" s="1"/>
  <c r="S15" i="38"/>
  <c r="U15" i="38" s="1"/>
  <c r="S19" i="38"/>
  <c r="U19" i="38" s="1"/>
  <c r="S23" i="38"/>
  <c r="U23" i="38" s="1"/>
  <c r="S17" i="38"/>
  <c r="U17" i="38" s="1"/>
  <c r="S12" i="38"/>
  <c r="U12" i="38" s="1"/>
  <c r="S16" i="38"/>
  <c r="U16" i="38" s="1"/>
  <c r="S20" i="38"/>
  <c r="U20" i="38" s="1"/>
  <c r="S24" i="38"/>
  <c r="U24" i="38" s="1"/>
  <c r="S13" i="38"/>
  <c r="U13" i="38" s="1"/>
  <c r="S21" i="38"/>
  <c r="U21" i="38" s="1"/>
  <c r="S25" i="38"/>
  <c r="U25" i="38" s="1"/>
  <c r="D78" i="12"/>
  <c r="G81" i="7" s="1"/>
  <c r="S41" i="38"/>
  <c r="U41" i="38" s="1"/>
  <c r="S38" i="38"/>
  <c r="U38" i="38" s="1"/>
  <c r="S8" i="38"/>
  <c r="U8" i="38" s="1"/>
  <c r="S3" i="38"/>
  <c r="U3" i="38" s="1"/>
  <c r="S28" i="38"/>
  <c r="U28" i="38" s="1"/>
  <c r="S4" i="38"/>
  <c r="U4" i="38" s="1"/>
  <c r="S29" i="38"/>
  <c r="U29" i="38" s="1"/>
  <c r="S36" i="38"/>
  <c r="U36" i="38" s="1"/>
  <c r="S5" i="38"/>
  <c r="U5" i="38" s="1"/>
  <c r="S6" i="38"/>
  <c r="U6" i="38" s="1"/>
  <c r="S37" i="38"/>
  <c r="U37" i="38" s="1"/>
  <c r="S7" i="38"/>
  <c r="U7" i="38" s="1"/>
  <c r="S30" i="38"/>
  <c r="U30" i="38" s="1"/>
  <c r="S39" i="38"/>
  <c r="U39" i="38" s="1"/>
  <c r="S43" i="38"/>
  <c r="U43" i="38" s="1"/>
  <c r="S31" i="38"/>
  <c r="U31" i="38" s="1"/>
  <c r="S40" i="38"/>
  <c r="U40" i="38" s="1"/>
  <c r="S2" i="38"/>
  <c r="S27" i="38"/>
  <c r="U27" i="38" s="1"/>
  <c r="S32" i="38"/>
  <c r="U32" i="38" s="1"/>
  <c r="G13" i="7"/>
  <c r="D17" i="43" s="1"/>
  <c r="S33" i="38"/>
  <c r="U33" i="38" s="1"/>
  <c r="S9" i="38"/>
  <c r="U9" i="38" s="1"/>
  <c r="S34" i="38"/>
  <c r="U34" i="38" s="1"/>
  <c r="S26" i="38"/>
  <c r="U26" i="38" s="1"/>
  <c r="S35" i="38"/>
  <c r="U35" i="38" s="1"/>
  <c r="E17" i="43" l="1"/>
  <c r="D18" i="43"/>
  <c r="G25" i="43"/>
  <c r="F25" i="43"/>
  <c r="Y55" i="38"/>
  <c r="U2" i="38"/>
  <c r="U51" i="38" s="1"/>
  <c r="S51" i="38"/>
  <c r="V44" i="38"/>
  <c r="Z44" i="38" s="1"/>
  <c r="Y44" i="38"/>
  <c r="V16" i="38"/>
  <c r="Z16" i="38" s="1"/>
  <c r="Y16" i="38"/>
  <c r="V12" i="38"/>
  <c r="Z12" i="38" s="1"/>
  <c r="Y12" i="38"/>
  <c r="V46" i="38"/>
  <c r="Z46" i="38" s="1"/>
  <c r="Y46" i="38"/>
  <c r="X2" i="38"/>
  <c r="X51" i="38" s="1"/>
  <c r="X57" i="38" s="1"/>
  <c r="Y57" i="38" s="1"/>
  <c r="V39" i="38"/>
  <c r="Z39" i="38" s="1"/>
  <c r="Y39" i="38"/>
  <c r="V47" i="38"/>
  <c r="Z47" i="38" s="1"/>
  <c r="Y47" i="38"/>
  <c r="V26" i="38"/>
  <c r="Z26" i="38" s="1"/>
  <c r="Y26" i="38"/>
  <c r="V38" i="38"/>
  <c r="Z38" i="38" s="1"/>
  <c r="Y38" i="38"/>
  <c r="V19" i="38"/>
  <c r="Z19" i="38" s="1"/>
  <c r="Y19" i="38"/>
  <c r="V49" i="38"/>
  <c r="Z49" i="38" s="1"/>
  <c r="Y49" i="38"/>
  <c r="V50" i="38"/>
  <c r="Z50" i="38" s="1"/>
  <c r="Y50" i="38"/>
  <c r="V17" i="38"/>
  <c r="Z17" i="38" s="1"/>
  <c r="Y17" i="38"/>
  <c r="V45" i="38"/>
  <c r="Z45" i="38" s="1"/>
  <c r="Y45" i="38"/>
  <c r="V40" i="38"/>
  <c r="Z40" i="38" s="1"/>
  <c r="Y40" i="38"/>
  <c r="V23" i="38"/>
  <c r="Z23" i="38" s="1"/>
  <c r="Y23" i="38"/>
  <c r="V7" i="38"/>
  <c r="Z7" i="38" s="1"/>
  <c r="Y7" i="38"/>
  <c r="V42" i="38"/>
  <c r="Z42" i="38" s="1"/>
  <c r="Y42" i="38"/>
  <c r="V35" i="38"/>
  <c r="Z35" i="38" s="1"/>
  <c r="Y35" i="38"/>
  <c r="V30" i="38"/>
  <c r="Z30" i="38" s="1"/>
  <c r="Y30" i="38"/>
  <c r="V37" i="38"/>
  <c r="Z37" i="38" s="1"/>
  <c r="Y37" i="38"/>
  <c r="V22" i="38"/>
  <c r="Z22" i="38" s="1"/>
  <c r="Y22" i="38"/>
  <c r="V29" i="38"/>
  <c r="Z29" i="38" s="1"/>
  <c r="Y29" i="38"/>
  <c r="V28" i="38"/>
  <c r="Z28" i="38" s="1"/>
  <c r="Y28" i="38"/>
  <c r="V3" i="38"/>
  <c r="Z3" i="38" s="1"/>
  <c r="Y3" i="38"/>
  <c r="V48" i="38"/>
  <c r="Z48" i="38" s="1"/>
  <c r="Y48" i="38"/>
  <c r="V41" i="38"/>
  <c r="Z41" i="38" s="1"/>
  <c r="Y41" i="38"/>
  <c r="V6" i="38"/>
  <c r="Z6" i="38" s="1"/>
  <c r="Y6" i="38"/>
  <c r="V21" i="38"/>
  <c r="Z21" i="38" s="1"/>
  <c r="Y21" i="38"/>
  <c r="V18" i="38"/>
  <c r="Z18" i="38" s="1"/>
  <c r="Y18" i="38"/>
  <c r="V4" i="38"/>
  <c r="Z4" i="38" s="1"/>
  <c r="Y4" i="38"/>
  <c r="V43" i="38"/>
  <c r="Z43" i="38" s="1"/>
  <c r="Y43" i="38"/>
  <c r="V8" i="38"/>
  <c r="Z8" i="38" s="1"/>
  <c r="Y8" i="38"/>
  <c r="V34" i="38"/>
  <c r="Z34" i="38" s="1"/>
  <c r="Y34" i="38"/>
  <c r="V9" i="38"/>
  <c r="Z9" i="38" s="1"/>
  <c r="Y9" i="38"/>
  <c r="V33" i="38"/>
  <c r="Z33" i="38" s="1"/>
  <c r="Y33" i="38"/>
  <c r="V32" i="38"/>
  <c r="Z32" i="38" s="1"/>
  <c r="Y32" i="38"/>
  <c r="V13" i="38"/>
  <c r="Z13" i="38" s="1"/>
  <c r="Y13" i="38"/>
  <c r="V14" i="38"/>
  <c r="Z14" i="38" s="1"/>
  <c r="Y14" i="38"/>
  <c r="V20" i="38"/>
  <c r="Z20" i="38" s="1"/>
  <c r="Y20" i="38"/>
  <c r="V31" i="38"/>
  <c r="Z31" i="38" s="1"/>
  <c r="Y31" i="38"/>
  <c r="V15" i="38"/>
  <c r="Z15" i="38" s="1"/>
  <c r="Y15" i="38"/>
  <c r="V11" i="38"/>
  <c r="Z11" i="38" s="1"/>
  <c r="Y11" i="38"/>
  <c r="V25" i="38"/>
  <c r="Z25" i="38" s="1"/>
  <c r="Y25" i="38"/>
  <c r="V5" i="38"/>
  <c r="Z5" i="38" s="1"/>
  <c r="Y5" i="38"/>
  <c r="V27" i="38"/>
  <c r="Z27" i="38" s="1"/>
  <c r="Y27" i="38"/>
  <c r="V36" i="38"/>
  <c r="Z36" i="38" s="1"/>
  <c r="Y36" i="38"/>
  <c r="V24" i="38"/>
  <c r="Z24" i="38" s="1"/>
  <c r="Y24" i="38"/>
  <c r="V10" i="38"/>
  <c r="Z10" i="38" s="1"/>
  <c r="Y10" i="38"/>
  <c r="H25" i="43" l="1"/>
  <c r="E18" i="43"/>
  <c r="E20" i="43" s="1"/>
  <c r="G17" i="43"/>
  <c r="E26" i="43"/>
  <c r="Y2" i="38"/>
  <c r="Y51" i="38" s="1"/>
  <c r="Y56" i="38" s="1"/>
  <c r="V2" i="38"/>
  <c r="Z2" i="38" s="1"/>
  <c r="D79" i="12"/>
  <c r="G82" i="7" s="1"/>
  <c r="F26" i="43" l="1"/>
  <c r="G26" i="43"/>
  <c r="E27" i="43"/>
  <c r="G18" i="43"/>
  <c r="V51" i="38"/>
  <c r="Z51" i="38"/>
  <c r="D80" i="12"/>
  <c r="G83" i="7" s="1"/>
  <c r="G20" i="43" l="1"/>
  <c r="H18" i="43" s="1"/>
  <c r="G27" i="43"/>
  <c r="G29" i="43" s="1"/>
  <c r="E29" i="43"/>
  <c r="H26" i="43"/>
  <c r="F27" i="43"/>
  <c r="H27" i="43" l="1"/>
  <c r="F29" i="43"/>
  <c r="H29" i="43" s="1"/>
  <c r="H19" i="43"/>
  <c r="H20" i="43"/>
  <c r="H16" i="43"/>
  <c r="H17" i="4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Marlena Raquel dos Santos</author>
  </authors>
  <commentList>
    <comment ref="K7" authorId="0" shapeId="0" xr:uid="{00000000-0006-0000-0300-000001000000}">
      <text>
        <r>
          <rPr>
            <b/>
            <sz val="9"/>
            <color indexed="81"/>
            <rFont val="Segoe UI"/>
            <family val="2"/>
          </rPr>
          <t>Marlena Raquel dos Santos:</t>
        </r>
        <r>
          <rPr>
            <sz val="9"/>
            <color indexed="81"/>
            <rFont val="Segoe UI"/>
            <family val="2"/>
          </rPr>
          <t xml:space="preserve">
não alterar a formula da cedula</t>
        </r>
      </text>
    </comment>
    <comment ref="U9" authorId="0" shapeId="0" xr:uid="{00000000-0006-0000-0300-000002000000}">
      <text>
        <r>
          <rPr>
            <b/>
            <sz val="9"/>
            <color indexed="81"/>
            <rFont val="Segoe UI"/>
            <family val="2"/>
          </rPr>
          <t>Marlena Raquel dos Santos:</t>
        </r>
        <r>
          <rPr>
            <sz val="9"/>
            <color indexed="81"/>
            <rFont val="Segoe UI"/>
            <family val="2"/>
          </rPr>
          <t xml:space="preserve">
Taxa de Fecundidade
</t>
        </r>
      </text>
    </comment>
    <comment ref="Q10" authorId="0" shapeId="0" xr:uid="{00000000-0006-0000-0300-000003000000}">
      <text>
        <r>
          <rPr>
            <b/>
            <sz val="9"/>
            <color indexed="81"/>
            <rFont val="Segoe UI"/>
            <family val="2"/>
          </rPr>
          <t>Marlena Raquel dos Santos:</t>
        </r>
        <r>
          <rPr>
            <sz val="9"/>
            <color indexed="81"/>
            <rFont val="Segoe UI"/>
            <family val="2"/>
          </rPr>
          <t xml:space="preserve">
O total dos tipos de desligamento informado pela empresa deve ser 100%</t>
        </r>
      </text>
    </comment>
    <comment ref="U10" authorId="0" shapeId="0" xr:uid="{00000000-0006-0000-0300-000004000000}">
      <text>
        <r>
          <rPr>
            <b/>
            <sz val="9"/>
            <color indexed="81"/>
            <rFont val="Segoe UI"/>
            <family val="2"/>
          </rPr>
          <t>Marlena Raquel dos Santos:</t>
        </r>
        <r>
          <rPr>
            <sz val="9"/>
            <color indexed="81"/>
            <rFont val="Segoe UI"/>
            <family val="2"/>
          </rPr>
          <t xml:space="preserve">
Dados IBGE 2018</t>
        </r>
      </text>
    </comment>
    <comment ref="K16" authorId="0" shapeId="0" xr:uid="{00000000-0006-0000-0300-000005000000}">
      <text>
        <r>
          <rPr>
            <b/>
            <sz val="9"/>
            <color indexed="81"/>
            <rFont val="Segoe UI"/>
            <family val="2"/>
          </rPr>
          <t>Marlena Raquel dos Santos:</t>
        </r>
        <r>
          <rPr>
            <sz val="9"/>
            <color indexed="81"/>
            <rFont val="Segoe UI"/>
            <family val="2"/>
          </rPr>
          <t xml:space="preserve">
não alterar a formula da cedula</t>
        </r>
      </text>
    </comment>
    <comment ref="K19" authorId="0" shapeId="0" xr:uid="{00000000-0006-0000-0300-000006000000}">
      <text>
        <r>
          <rPr>
            <b/>
            <sz val="9"/>
            <color indexed="81"/>
            <rFont val="Segoe UI"/>
            <family val="2"/>
          </rPr>
          <t>Marlena Raquel dos Santos:</t>
        </r>
        <r>
          <rPr>
            <sz val="9"/>
            <color indexed="81"/>
            <rFont val="Segoe UI"/>
            <family val="2"/>
          </rPr>
          <t xml:space="preserve">
não alterar a formula da cedula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Marlena Raquel dos Santos</author>
  </authors>
  <commentList>
    <comment ref="G48" authorId="0" shapeId="0" xr:uid="{00000000-0006-0000-0800-000001000000}">
      <text>
        <r>
          <rPr>
            <b/>
            <sz val="9"/>
            <color indexed="81"/>
            <rFont val="Segoe UI"/>
            <family val="2"/>
          </rPr>
          <t>Marlena Raquel dos Santos:</t>
        </r>
        <r>
          <rPr>
            <sz val="9"/>
            <color indexed="81"/>
            <rFont val="Segoe UI"/>
            <family val="2"/>
          </rPr>
          <t xml:space="preserve">
Salario base é a base de calculo para incidencia do desconto de 6% do transporte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Marlena Raquel dos Santos</author>
  </authors>
  <commentList>
    <comment ref="H5" authorId="0" shapeId="0" xr:uid="{00000000-0006-0000-0900-000001000000}">
      <text>
        <r>
          <rPr>
            <b/>
            <sz val="9"/>
            <color indexed="81"/>
            <rFont val="Segoe UI"/>
            <family val="2"/>
          </rPr>
          <t>Marlena Raquel dos Santos:</t>
        </r>
        <r>
          <rPr>
            <sz val="9"/>
            <color indexed="81"/>
            <rFont val="Segoe UI"/>
            <family val="2"/>
          </rPr>
          <t xml:space="preserve">
Sem justa Causa</t>
        </r>
      </text>
    </comment>
    <comment ref="H15" authorId="0" shapeId="0" xr:uid="{00000000-0006-0000-0900-000002000000}">
      <text>
        <r>
          <rPr>
            <b/>
            <sz val="9"/>
            <color indexed="81"/>
            <rFont val="Segoe UI"/>
            <family val="2"/>
          </rPr>
          <t>Marlena Raquel dos Santos:</t>
        </r>
        <r>
          <rPr>
            <sz val="9"/>
            <color indexed="81"/>
            <rFont val="Segoe UI"/>
            <family val="2"/>
          </rPr>
          <t xml:space="preserve">
Sem justa Causa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Marlena Raquel dos Santos</author>
  </authors>
  <commentList>
    <comment ref="F5" authorId="0" shapeId="0" xr:uid="{00000000-0006-0000-0C00-000001000000}">
      <text>
        <r>
          <rPr>
            <b/>
            <sz val="9"/>
            <color indexed="81"/>
            <rFont val="Segoe UI"/>
            <family val="2"/>
          </rPr>
          <t>Marlena Raquel dos Santos:</t>
        </r>
        <r>
          <rPr>
            <sz val="9"/>
            <color indexed="81"/>
            <rFont val="Segoe UI"/>
            <family val="2"/>
          </rPr>
          <t xml:space="preserve">
Taxa de Fecundidade
</t>
        </r>
      </text>
    </comment>
    <comment ref="Q5" authorId="0" shapeId="0" xr:uid="{00000000-0006-0000-0C00-000002000000}">
      <text>
        <r>
          <rPr>
            <b/>
            <sz val="9"/>
            <color indexed="81"/>
            <rFont val="Segoe UI"/>
            <family val="2"/>
          </rPr>
          <t>Marlena Raquel dos Santos:</t>
        </r>
        <r>
          <rPr>
            <sz val="9"/>
            <color indexed="81"/>
            <rFont val="Segoe UI"/>
            <family val="2"/>
          </rPr>
          <t xml:space="preserve">
Taxa de Fecundidade
</t>
        </r>
      </text>
    </comment>
    <comment ref="F6" authorId="0" shapeId="0" xr:uid="{00000000-0006-0000-0C00-000003000000}">
      <text>
        <r>
          <rPr>
            <b/>
            <sz val="9"/>
            <color indexed="81"/>
            <rFont val="Segoe UI"/>
            <family val="2"/>
          </rPr>
          <t>Marlena Raquel dos Santos:</t>
        </r>
        <r>
          <rPr>
            <sz val="9"/>
            <color indexed="81"/>
            <rFont val="Segoe UI"/>
            <family val="2"/>
          </rPr>
          <t xml:space="preserve">
Dados IBGE 2018</t>
        </r>
      </text>
    </comment>
    <comment ref="Q6" authorId="0" shapeId="0" xr:uid="{00000000-0006-0000-0C00-000004000000}">
      <text>
        <r>
          <rPr>
            <b/>
            <sz val="9"/>
            <color indexed="81"/>
            <rFont val="Segoe UI"/>
            <family val="2"/>
          </rPr>
          <t>Marlena Raquel dos Santos:</t>
        </r>
        <r>
          <rPr>
            <sz val="9"/>
            <color indexed="81"/>
            <rFont val="Segoe UI"/>
            <family val="2"/>
          </rPr>
          <t xml:space="preserve">
Dados IBGE 2018</t>
        </r>
      </text>
    </comment>
    <comment ref="C8" authorId="0" shapeId="0" xr:uid="{00000000-0006-0000-0C00-000005000000}">
      <text>
        <r>
          <rPr>
            <b/>
            <sz val="9"/>
            <color indexed="81"/>
            <rFont val="Segoe UI"/>
            <family val="2"/>
          </rPr>
          <t>Marlena Raquel dos Santos:</t>
        </r>
        <r>
          <rPr>
            <sz val="9"/>
            <color indexed="81"/>
            <rFont val="Segoe UI"/>
            <family val="2"/>
          </rPr>
          <t xml:space="preserve">
IBGE</t>
        </r>
      </text>
    </comment>
    <comment ref="N8" authorId="0" shapeId="0" xr:uid="{00000000-0006-0000-0C00-000006000000}">
      <text>
        <r>
          <rPr>
            <b/>
            <sz val="9"/>
            <color indexed="81"/>
            <rFont val="Segoe UI"/>
            <family val="2"/>
          </rPr>
          <t>Marlena Raquel dos Santos:</t>
        </r>
        <r>
          <rPr>
            <sz val="9"/>
            <color indexed="81"/>
            <rFont val="Segoe UI"/>
            <family val="2"/>
          </rPr>
          <t xml:space="preserve">
IBGE</t>
        </r>
      </text>
    </comment>
  </commentList>
</comments>
</file>

<file path=xl/sharedStrings.xml><?xml version="1.0" encoding="utf-8"?>
<sst xmlns="http://schemas.openxmlformats.org/spreadsheetml/2006/main" count="1853" uniqueCount="733">
  <si>
    <t>A</t>
  </si>
  <si>
    <t>Benefícios Mensais e Diários</t>
  </si>
  <si>
    <t>B</t>
  </si>
  <si>
    <t>C</t>
  </si>
  <si>
    <t>D</t>
  </si>
  <si>
    <t>INCRA</t>
  </si>
  <si>
    <t>FGTS</t>
  </si>
  <si>
    <t>SEBRAE</t>
  </si>
  <si>
    <t>Total</t>
  </si>
  <si>
    <t>13º (décimo terceiro) Salário</t>
  </si>
  <si>
    <t>Valor</t>
  </si>
  <si>
    <t>Provisão para Rescisão</t>
  </si>
  <si>
    <t>Custos Indiretos</t>
  </si>
  <si>
    <t>Lucro</t>
  </si>
  <si>
    <t>Tributos</t>
  </si>
  <si>
    <t>Módulo 1 - Composição da Remuneração</t>
  </si>
  <si>
    <t>COFINS</t>
  </si>
  <si>
    <t>ISS</t>
  </si>
  <si>
    <t>Qtd</t>
  </si>
  <si>
    <t>Valor Unitário</t>
  </si>
  <si>
    <t>Valor Total</t>
  </si>
  <si>
    <t>Item</t>
  </si>
  <si>
    <t>Férias</t>
  </si>
  <si>
    <t>Dia trabalhado</t>
  </si>
  <si>
    <t xml:space="preserve">valor transporte </t>
  </si>
  <si>
    <t xml:space="preserve">Qtd p dia </t>
  </si>
  <si>
    <t xml:space="preserve">Custo total </t>
  </si>
  <si>
    <t xml:space="preserve">Base de cálculo </t>
  </si>
  <si>
    <t>Percentual de Desconto</t>
  </si>
  <si>
    <t>Total do Desconto</t>
  </si>
  <si>
    <t>Custo do Empregador</t>
  </si>
  <si>
    <t>Custo Total</t>
  </si>
  <si>
    <t>Assitencia Familiar</t>
  </si>
  <si>
    <t>Salário-Base</t>
  </si>
  <si>
    <t>Outros (especificar)</t>
  </si>
  <si>
    <t>2.1</t>
  </si>
  <si>
    <t>13º (décimo terceiro) Salário, Férias e Adicional de Férias</t>
  </si>
  <si>
    <t>Férias e Adicional de Férias</t>
  </si>
  <si>
    <t>GPS, FGTS e outras contribuições</t>
  </si>
  <si>
    <t>Encargos e Benefícios Anuais, Mensais e Diários</t>
  </si>
  <si>
    <t>2.2</t>
  </si>
  <si>
    <t>2.3</t>
  </si>
  <si>
    <t>Aviso Prévio Indenizado</t>
  </si>
  <si>
    <t>Aviso Prévio Trabalhado</t>
  </si>
  <si>
    <t>Custos Indiretos, Tributos e Lucro</t>
  </si>
  <si>
    <t>Módulo 2 - Encargos e Benefícios Anuais, Mensais e Diários</t>
  </si>
  <si>
    <t>Módulo 3 - Provisão para Rescisão</t>
  </si>
  <si>
    <t>Módulo 4 - Custo de Reposição do Profissional Ausente</t>
  </si>
  <si>
    <t>Módulo 5 - Insumos Diversos</t>
  </si>
  <si>
    <t>Módulo 6 - Custos Indiretos, Tributos e Lucro</t>
  </si>
  <si>
    <t>Salario base CCT</t>
  </si>
  <si>
    <t>O que é insalubridade?</t>
  </si>
  <si>
    <t>Segundo a CLT, é considerada atividade insalubre aquela em que o trabalhador é exposto a agentes nocivos à saúde acima dos limites tolerados pelo Ministério do Trabalho e Emprego.</t>
  </si>
  <si>
    <t>Como é determinada se a atividade é insalubre?</t>
  </si>
  <si>
    <t>A Norma Regulamentadora 15, do Ministério do Trabalho, é que define o que é atividade insalubre. Há grau mínimo, médio e máximo.</t>
  </si>
  <si>
    <t>Clique aqui para ver a norma e saber em qual grau cada atividade é enquadrada.</t>
  </si>
  <si>
    <t>Qual a diferença entre insalubridade e periculosidade?</t>
  </si>
  <si>
    <t>É considerada atividade perigosa aquela em que o trabalhador não está diretamente exposto a agentes nocivos, mas corre risco de sofrer ferimentos ou de morrer. Nesse caso, o adicional é calculado sobre 30% do salário-base. Os adicionais de periculosidade e de insalubridade não são cumulativos: ou o trabalhador recebe um ou recebe outro.</t>
  </si>
  <si>
    <t>Como é calculado o adicional de insalubridade?</t>
  </si>
  <si>
    <t>O trabalhador que atua com atividade insalubre no grau mínimo recebe 10% de adicional de insalubridade. Quem atua com grau médio, recebe o percentual de 20%. No grau máximo, o percentual é de 40%.</t>
  </si>
  <si>
    <t>Qual a base de cálculo para o benefício?</t>
  </si>
  <si>
    <t>A definição da base de cálculo é polêmica. Há diferentes decisões judiciais, que determinam o cálculo sobre o salário mínimo, sobre o salário base do trabalhador, sobre o piso da categoria ou sobre a remuneração total do empregado.</t>
  </si>
  <si>
    <t>Quem nunca recebeu e julga que tem o direito ou quem considera equivocada a base de cálculo utilizada pode questionar na Justiça?</t>
  </si>
  <si>
    <t>Sim. Nesse caso, a ação só tem efeito retroativo de cinco anos e só pode ser protocolada até dois anos depois do desligamento do empregado na empresa.</t>
  </si>
  <si>
    <t>Percentual de Periculosidade</t>
  </si>
  <si>
    <t>Percentual de Insalubridade</t>
  </si>
  <si>
    <t>Transporte</t>
  </si>
  <si>
    <t>Auxílio-Refeição/Alimentação</t>
  </si>
  <si>
    <t>Assistência Médica e Familiar</t>
  </si>
  <si>
    <t xml:space="preserve">13º Salário </t>
  </si>
  <si>
    <t>Percentual</t>
  </si>
  <si>
    <t>Base de Cálculo</t>
  </si>
  <si>
    <t xml:space="preserve">Total </t>
  </si>
  <si>
    <t xml:space="preserve">Benefícios Mensais e Diarios </t>
  </si>
  <si>
    <t>Encargos</t>
  </si>
  <si>
    <t>1/3 Férias</t>
  </si>
  <si>
    <t>Categoria</t>
  </si>
  <si>
    <t>MÓDULO 2 - Encargos e Benefícios Anuais, Mensais e Diários</t>
  </si>
  <si>
    <t>Adicional Insalubridade</t>
  </si>
  <si>
    <t>Adicional Hora Noturna Reduzida</t>
  </si>
  <si>
    <t>Adicional 
Noturno</t>
  </si>
  <si>
    <t>Periculosidade</t>
  </si>
  <si>
    <t>Salário Base</t>
  </si>
  <si>
    <t>MÓDULO 1 - REMUNERAÇÃO</t>
  </si>
  <si>
    <t>Adicional de Férias</t>
  </si>
  <si>
    <t>Aliquota 
adicional</t>
  </si>
  <si>
    <t>INSS - empregador</t>
  </si>
  <si>
    <t>Salário-Educação</t>
  </si>
  <si>
    <t>SAT- GIL/RAT</t>
  </si>
  <si>
    <t>SESC</t>
  </si>
  <si>
    <t>SENAC</t>
  </si>
  <si>
    <t>GPS</t>
  </si>
  <si>
    <t>Vale Alimentação</t>
  </si>
  <si>
    <t>ITEM</t>
  </si>
  <si>
    <t>Alimentação</t>
  </si>
  <si>
    <t>Base de cálculo Desconto</t>
  </si>
  <si>
    <t>Cesta Básica</t>
  </si>
  <si>
    <t>Base de cálculo para avisos prévio trabalhado (Base de cálculo: Módulo 1 + Módulo 2)</t>
  </si>
  <si>
    <t>Base de cálculo para avisos prévio indenizado (Base de cálculo: Módulo 1 + Módulo 2 (sem a incidência dos encargos previdenciários</t>
  </si>
  <si>
    <t>Multa do FGTS e CS do aviso prévio indenizado (remuneração + submodulo 2.1)</t>
  </si>
  <si>
    <t>BASE DE CÁLCULO</t>
  </si>
  <si>
    <t>VALOR</t>
  </si>
  <si>
    <t>PERCENTUAL</t>
  </si>
  <si>
    <t xml:space="preserve">Lucro </t>
  </si>
  <si>
    <t>Insumos Diversos</t>
  </si>
  <si>
    <t>Uniformes</t>
  </si>
  <si>
    <t>Materiais</t>
  </si>
  <si>
    <t>Equipamentos</t>
  </si>
  <si>
    <t>Auxílio Doença:o  artigo     131,    inciso     III,   da  CLT,    onera    a  empresa  com   até   15  (quinze) 
ausências do empregado por motivo de acidente ou doença atestada pelo INSS; Esta    parcela refere-se 
aos   dias   em   que   o  empregado fica   doente e  a  contratada deve    providenciar sua   substituição. Entendemos que deva ser adotado 5,96 dias, conforme consta do memorial de cálculo encaminhado 
pelo    MP,   devendo-se converter esses    dias   em   mês   e  depois dividi-lo pelo    número 
de  meses     no  ano.    (Acórdão 1753/2008 – Plenário TCU)
Cálculo: (5,96/30)/12x100 = 1,66%</t>
  </si>
  <si>
    <t xml:space="preserve"> Licença paternidade: Custo de ausência do trabalhador no período de 5 (cinco) dias corridos iniciados na data de nascimento da criança e com previsão constitucional. Licença Paternidade: Criada pelo art. 7º, inciso XIX da CF, combinado com o art. 10, § 1º dos Atos das Disposições Constitucionais Transitórias – ADCT - , concede ao empregado o direito de ausentar-se do serviço por   cinco    dias    quando do   nascimento de  filho.    De   acordo com    o  IBGE, nascem filhos    de  1,5%    dos trabalhadores no   período de  um   ano.    Dessa forma     a  provisão para    este   item    corresponde a  :((5/30)/12) x 0,015 x 100 = 0,02%</t>
  </si>
  <si>
    <t>usências Legais (Faltas legais) – Estudos do CNJ – Resolução 98/2009
Faltas  Legais:Ausências ao   trabalho asseguradas ao   empregado pelos    artigos 473   e  83   da   CLT   (morte de  cônjuge, ascendente, descendente; casamento; nascimento de  filho;    doação de  sangue; alistamento eleitoral; serviço militar; comparecer a juízo), Súmula 89 - falta ao serviço (mantida) Res. 121/2003, Dj 19, 20 e 21.11.2003)</t>
  </si>
  <si>
    <t>Base de cálculo para custo de profissional ausente é: (Remuneração+13º salário+férias+adicional de férias)( IN 5 2017 - ATUALIZADA)</t>
  </si>
  <si>
    <t>Acidente de Trabalho: O artigo 27 do Decreto nº 89.312, de 23/01/84, obriga o empregador a assumir   o  ônus    financeiro 
pelo    prazo    de  15  dias,    no  caso    de  acidente de  trabalho previsto no  art.   131   da  CLT.    De acordo com    os  números mais    recentes apresentados pelo    Ministério da   Previdência de  Assistência Social, baseados em informações prestadas pelos    empregadores, por   meio    da   GFIP,     0,78% (zero    vírgula setenta e oito   por   cento) dos   empregados se  acidentam no  ano.    Assim    a  provisão corresponde a:  ((15/30)/12) x  0,0078 x 100 = 0,03%.</t>
  </si>
  <si>
    <t>TRIBUTOS</t>
  </si>
  <si>
    <t>Pis</t>
  </si>
  <si>
    <t>Cofins</t>
  </si>
  <si>
    <t xml:space="preserve">Valor </t>
  </si>
  <si>
    <t>GPS e outras contribuições</t>
  </si>
  <si>
    <t xml:space="preserve">PIS </t>
  </si>
  <si>
    <t>Ano acordo, Convenção ou sentença normativa em dissídio coletivo da Repactuação</t>
  </si>
  <si>
    <t>Meses do Contrato</t>
  </si>
  <si>
    <t xml:space="preserve">Tipo de Trabalhador </t>
  </si>
  <si>
    <t>44 h</t>
  </si>
  <si>
    <t>Dias de Trabalho</t>
  </si>
  <si>
    <t>Qtde de V. Transporte Dia</t>
  </si>
  <si>
    <t>Qtde de V. Alimentação Dia</t>
  </si>
  <si>
    <t xml:space="preserve">Serviço </t>
  </si>
  <si>
    <t>Categoria Profissional</t>
  </si>
  <si>
    <t>Município</t>
  </si>
  <si>
    <t>MANAUS - AM</t>
  </si>
  <si>
    <t>Carga Horária mensal</t>
  </si>
  <si>
    <r>
      <t>Nota 1:</t>
    </r>
    <r>
      <rPr>
        <sz val="12"/>
        <color rgb="FF000000"/>
        <rFont val="Arial Narrow"/>
        <family val="2"/>
      </rPr>
      <t> Como a planilha de custos e formação de preços é calculada </t>
    </r>
    <r>
      <rPr>
        <u/>
        <sz val="12"/>
        <color rgb="FF000000"/>
        <rFont val="Arial Narrow"/>
        <family val="2"/>
      </rPr>
      <t>mensalmente</t>
    </r>
    <r>
      <rPr>
        <sz val="12"/>
        <color rgb="FF000000"/>
        <rFont val="Arial Narrow"/>
        <family val="2"/>
      </rPr>
      <t>, provisiona-se proporcionalmente 1/12 (um doze avos) dos valores referentes a gratificação natalina, férias e adicional de férias. </t>
    </r>
    <r>
      <rPr>
        <b/>
        <sz val="12"/>
        <color rgb="FF000000"/>
        <rFont val="Arial Narrow"/>
        <family val="2"/>
      </rPr>
      <t>(Redação dada pela Instrução Normativa nº 7, de 2018)</t>
    </r>
  </si>
  <si>
    <r>
      <t>Nota 2:</t>
    </r>
    <r>
      <rPr>
        <sz val="12"/>
        <color rgb="FF000000"/>
        <rFont val="Arial Narrow"/>
        <family val="2"/>
      </rPr>
      <t> O adicional de férias contido no Submódulo 2.1 corresponde a 1/3 (um terço) da remuneração que por sua vez é divido por 12 (doze) conforme Nota 1 acima.</t>
    </r>
  </si>
  <si>
    <r>
      <t>Nota 3:</t>
    </r>
    <r>
      <rPr>
        <sz val="12"/>
        <color rgb="FF000000"/>
        <rFont val="Arial Narrow"/>
        <family val="2"/>
      </rPr>
      <t> Levando em consideração a vigência contratual prevista no art. 57 da Lei nº 8.666, de 23 de junho de 1993, a rubrica férias tem como objetivo principal suprir a necessidade do pagamento das férias remuneradas ao final do contrato de 12 meses. Esta rubrica, quando da prorrogação contratual, torna-se custo não renovável.  </t>
    </r>
    <r>
      <rPr>
        <b/>
        <sz val="12"/>
        <color rgb="FF000000"/>
        <rFont val="Arial Narrow"/>
        <family val="2"/>
      </rPr>
      <t>(Incluído pela Instrução Normativa nº 7, de 2018)</t>
    </r>
  </si>
  <si>
    <r>
      <t>Nota 1:</t>
    </r>
    <r>
      <rPr>
        <sz val="12"/>
        <color rgb="FF000000"/>
        <rFont val="Arial Narrow"/>
        <family val="2"/>
      </rPr>
      <t> Os percentuais dos encargos previdenciários, do FGTS e demais contribuições são aqueles estabelecidos pela legislação vigente.</t>
    </r>
  </si>
  <si>
    <r>
      <t>Nota 2:</t>
    </r>
    <r>
      <rPr>
        <sz val="12"/>
        <color rgb="FF000000"/>
        <rFont val="Arial Narrow"/>
        <family val="2"/>
      </rPr>
      <t> O SAT a depender do grau de risco do serviço irá variar entre 1%, para risco leve, de 2%, para risco médio, e de 3% de risco grave.</t>
    </r>
  </si>
  <si>
    <r>
      <t>Nota 3:</t>
    </r>
    <r>
      <rPr>
        <sz val="12"/>
        <color rgb="FF000000"/>
        <rFont val="Arial Narrow"/>
        <family val="2"/>
      </rPr>
      <t> Esses percentuais incidem sobre o Módulo 1, o Submódulo 2.1. </t>
    </r>
    <r>
      <rPr>
        <b/>
        <sz val="12"/>
        <color rgb="FF000000"/>
        <rFont val="Arial Narrow"/>
        <family val="2"/>
      </rPr>
      <t>(Redação dada pela Instrução Normativa nº 7, de 2018)</t>
    </r>
  </si>
  <si>
    <r>
      <t>Nota 1:</t>
    </r>
    <r>
      <rPr>
        <sz val="12"/>
        <color rgb="FF000000"/>
        <rFont val="Arial Narrow"/>
        <family val="2"/>
      </rPr>
      <t> O valor informado deverá ser o custo real do benefício (descontado o valor eventualmente pago pelo empregado).</t>
    </r>
  </si>
  <si>
    <r>
      <t>Nota 2: </t>
    </r>
    <r>
      <rPr>
        <sz val="12"/>
        <color rgb="FF000000"/>
        <rFont val="Arial Narrow"/>
        <family val="2"/>
      </rPr>
      <t>Observar a previsão dos benefícios contidos em Acordos, Convenções e Dissídios Coletivos de Trabalho e atentar-se ao disposto no art. 6º desta Instrução Normativa.</t>
    </r>
  </si>
  <si>
    <r>
      <t>Nota 1: </t>
    </r>
    <r>
      <rPr>
        <sz val="12"/>
        <color rgb="FF000000"/>
        <rFont val="Arial Narrow"/>
        <family val="2"/>
      </rPr>
      <t>Os itens que contemplam o módulo 4 se referem ao custo dos dias trabalhados pelo repositor/substituto, quando o empregado alocado na prestação de serviço estiver ausente, conforme as previsões estabelecidas na legislação. </t>
    </r>
    <r>
      <rPr>
        <b/>
        <sz val="12"/>
        <color rgb="FF000000"/>
        <rFont val="Arial Narrow"/>
        <family val="2"/>
      </rPr>
      <t>(Redação dada pela Instrução Normativa nº 7, de 2018)</t>
    </r>
  </si>
  <si>
    <t>Hora Extra</t>
  </si>
  <si>
    <t>Quadro-Resumo do Módulo 2 - Encargos e Benefícios anuais, mensais e diários</t>
  </si>
  <si>
    <t xml:space="preserve">Módulo 3 - Provisão para Rescisão </t>
  </si>
  <si>
    <t>TOTAL</t>
  </si>
  <si>
    <t>Auxiliar de Limpeza</t>
  </si>
  <si>
    <t>Utensílios</t>
  </si>
  <si>
    <t xml:space="preserve">Meia em algodão, tipo soquete. </t>
  </si>
  <si>
    <t xml:space="preserve">Crachá de identificação com Foto </t>
  </si>
  <si>
    <t>Agente de Limpeza</t>
  </si>
  <si>
    <t>Submódulo 2.1 - 13º (décimo terceiro) Salário, Férias e Adicional de Férias</t>
  </si>
  <si>
    <t>Submódulo 2.2 - Encargos Previdenciários (GPS), Fundo de Garantia por Tempo de Serviço (FGTS) e outras contribuições.</t>
  </si>
  <si>
    <t>Submódulo 2.3 - Benefícios Mensais e Diários.</t>
  </si>
  <si>
    <t>2. QUADRO-RESUMO DO CUSTO POR EMPREGADO</t>
  </si>
  <si>
    <t>Valor Mensal</t>
  </si>
  <si>
    <t>Aspirador de pó e água, tipo semi-profissional</t>
  </si>
  <si>
    <t>UNIDADE</t>
  </si>
  <si>
    <t>UTENSÍLIOS</t>
  </si>
  <si>
    <t>COD. RECEITA</t>
  </si>
  <si>
    <t>PREÇO MEDIO UNITÁRIO</t>
  </si>
  <si>
    <t>DEPRECIAÇÃO MENSAL</t>
  </si>
  <si>
    <t>DEPRECIAÇÃO ANUAL</t>
  </si>
  <si>
    <t>AGENTE DE LIMPEZA</t>
  </si>
  <si>
    <t>BASE DE CÁLCULO DA DEPRECIAÇÃO</t>
  </si>
  <si>
    <t>MODULO 5 - INSUMOS DE MÃO DE OBRA</t>
  </si>
  <si>
    <t xml:space="preserve">CATEGORIA </t>
  </si>
  <si>
    <t>UNIFORMES</t>
  </si>
  <si>
    <t>VIDA ÚTIL MESES</t>
  </si>
  <si>
    <t>EQUIPAMENTOS</t>
  </si>
  <si>
    <t>Agente de limpeza</t>
  </si>
  <si>
    <t>6 - CUSTOS INDIRETOS , TRIBUTOS E LUCRO (repactuação)</t>
  </si>
  <si>
    <t>Parágrafo Terceiro – Fica certo e de acordo entre as entidades sindicais, que será adotado 01 (um) líder de serviços, para contratos que tenham de 05 (cinco) até 10 (dez) Funcionários, acima de 10 (dez) deverá ser contratado um Encarregado de Serviços, conforme descrito na tabela de ordem salarial.</t>
  </si>
  <si>
    <t>CLÁUSULA DÉCIMA - Parágrafo Primeiro - Para viabilidade financeira deste benefício assistencial e social, durante a vigência desta Convenção Coletiva de Trabalho, a título de contribuição financeira, as empresas
convenentes recolherão, até o décimo dia útil de cada mês, ao SEAC-AM, através de boleto bancário ou depósito identificado, o valor de R$ 7,00 (sete reais) por empregado que possua, arrecadado na
forma prevista no parágrafo segundo, abaixo, tomando-se por base, para efeito de cálculo, a quantidade de empregados constante no campo</t>
  </si>
  <si>
    <t xml:space="preserve">Seguro de Vida - Fica facultada aos empregadores contratação de Seguro de Vida em Grupo em prol de seus empregados, hipótese em que os mesmos contribuirão com até 10% (dez por cento) dos prêmios mensais, a
ser descontado em folha de pagamento.
</t>
  </si>
  <si>
    <t>Parágrafo Quarto- As empresas deverão de forma obrigatória fazer constar em suas planilhas de custos a provisão financeira para cumprimento do recolhimento da importância ajustada no caput desta ( constante no custo indireto)</t>
  </si>
  <si>
    <t>PERCENTUAIS</t>
  </si>
  <si>
    <t>Demissão sem justa Causa</t>
  </si>
  <si>
    <t>Demissão com justa causa</t>
  </si>
  <si>
    <t xml:space="preserve">Desligamento outros </t>
  </si>
  <si>
    <t>Aviso Prévio Indenizado -  Base de cálculo: Módulo 1 + Módulo 2 (sem a incidência dos encargos previdenciários
correspondentes ao GPS). Considera-se a duração média do contrato de trabalho de 12 meses</t>
  </si>
  <si>
    <t>MULTA DO FGTS E CONTRIBUIÇÃO SOCIAL SOBRE O AVISO PRÉVIO INDENIZADO - Corresponde ao valor do depósito mensal realizado no Fundo de Garantia por Tempo de Serviço – FGTS.</t>
  </si>
  <si>
    <t>FGTS - Base de Cálculo: Módulo 1 + Submódulo 2.1.</t>
  </si>
  <si>
    <t>AP INDENIZADO</t>
  </si>
  <si>
    <t>AP TRABALHADO</t>
  </si>
  <si>
    <t>Aviso Previo Trabalhado - Base de cálculo: Módulo 1 + Módulo 2. Considera-se a duração média do contrato de trabalho de
12 meses.</t>
  </si>
  <si>
    <t>Remuneração</t>
  </si>
  <si>
    <t>DESCRIÇÃO</t>
  </si>
  <si>
    <t>CATMAT</t>
  </si>
  <si>
    <t>Balde em plástico com alça de metal de 10L de capacidade</t>
  </si>
  <si>
    <t>Espanador de mesa eletrostático em microfibra</t>
  </si>
  <si>
    <t>Rodo com plataforma de 40cm de largura, com cabo.</t>
  </si>
  <si>
    <t>Rodo com plataforma de 60cm de largura, com cabo</t>
  </si>
  <si>
    <t>Rodo limpa vidros dupla função combinado 50 cm  com cabo extensor 1 mt</t>
  </si>
  <si>
    <t>Vassoura de nylon, tamanho comercial, com cabo</t>
  </si>
  <si>
    <t>Vassoura tipo gari 60cm cepa plástica, com cabo</t>
  </si>
  <si>
    <t>Vassoura tipo escovão com cabo</t>
  </si>
  <si>
    <t>Desinfetante concentrado líquido limpeza em geral, embalagem lacrada de 5 litros.</t>
  </si>
  <si>
    <t>GALÃO 5L</t>
  </si>
  <si>
    <t>Desodorizador de ar, cada unidade contendo 400 ml</t>
  </si>
  <si>
    <t>Escova de mão multiuso</t>
  </si>
  <si>
    <t>Escova sanitária com recipiente</t>
  </si>
  <si>
    <t>Flanela 100% algodao medindo 38x58cm, na cor branca</t>
  </si>
  <si>
    <t>Limpa vidros com álcool, tampa com esborrifador, embalagem com rg ms ou isento, embalagem com 500ml.</t>
  </si>
  <si>
    <t>Limpador multiuso</t>
  </si>
  <si>
    <t>Lustra móveis lavanda 200 ml</t>
  </si>
  <si>
    <t>Luva de pano de algodão</t>
  </si>
  <si>
    <t>PAR</t>
  </si>
  <si>
    <t>Luva de proteção em Látex amarela (p, m e g).</t>
  </si>
  <si>
    <t>Naftalina pacote de 1 kg</t>
  </si>
  <si>
    <t>Pano de chão. pano de limpeza medindo 71x54cm fabricado em algodao cru na cor branca</t>
  </si>
  <si>
    <t>Papel higiênico branco, 10cm x300m, fardo com 8 rolos.</t>
  </si>
  <si>
    <t>Saponazio liquido</t>
  </si>
  <si>
    <t>Pedra sanitária</t>
  </si>
  <si>
    <t>PACOTE</t>
  </si>
  <si>
    <t>Sabonete líquido, com tensoativo, conservante, corante, água com essência, embalagem lacrada de 5 litros.</t>
  </si>
  <si>
    <t>Saco plástico preto para lixo capacidade 30 litros, embalagem lacrada, rolo/pacote com 100 unidades cada.</t>
  </si>
  <si>
    <t>Saco plástico preto para lixo, capacidade 100 litros, espessura mínima 9mm 9 de micra, levando e conta os dois lados do saco, embalagem lacrada, rolo/pacote com 100 unidades cada.</t>
  </si>
  <si>
    <t>Saco plástico preto para lixo, capacidade 200 litros, espessura mínima 9mm 9 de micra, levando e conta os dois lados do saco, embalagem lacrada, rolo/pacote com 100 unidades cada.</t>
  </si>
  <si>
    <t>Saco plástico preto para lixo, capacidade 50 litros, espessura mínima 9mm 9 de micra, levando e conta os dois lados do saco, embalagem lacrada, rolo/pacote com 100 unidades cada.</t>
  </si>
  <si>
    <t>Desencrustante alcalino (para desentupir banheiros e pias), frasco de 1 LITRO</t>
  </si>
  <si>
    <t>PREÇO MÉDIO UNITÁRIO (R$)</t>
  </si>
  <si>
    <t>CUSTO MÉDIO MENSAL (R$)</t>
  </si>
  <si>
    <t>Cozinha</t>
  </si>
  <si>
    <t>Periodicidade</t>
  </si>
  <si>
    <t>Subtipo</t>
  </si>
  <si>
    <t>Tipo de Área</t>
  </si>
  <si>
    <t>Esquadrias</t>
  </si>
  <si>
    <t>Rótulos de Linha</t>
  </si>
  <si>
    <t>Total Geral</t>
  </si>
  <si>
    <t>Tipo da Área</t>
  </si>
  <si>
    <t>% 1 Hora na Jornada</t>
  </si>
  <si>
    <t>Fachadas Envidraçadas</t>
  </si>
  <si>
    <t>Áreas Hospitalares e similares</t>
  </si>
  <si>
    <t>Não definido</t>
  </si>
  <si>
    <t>Produtividade</t>
  </si>
  <si>
    <t>Líder de Serviços</t>
  </si>
  <si>
    <t>Padrão Definido</t>
  </si>
  <si>
    <t>Lider de Limpeza</t>
  </si>
  <si>
    <t>LIDER LIMPEZA</t>
  </si>
  <si>
    <t>LIDER DE LIMPEZA</t>
  </si>
  <si>
    <t>Diversos</t>
  </si>
  <si>
    <t>Valor Total por Líder de Serviços</t>
  </si>
  <si>
    <t>Valor Total por Agente de Limpeza</t>
  </si>
  <si>
    <t>Mão de Obra</t>
  </si>
  <si>
    <t>Agente x Líder x Encarregado</t>
  </si>
  <si>
    <t>Agente</t>
  </si>
  <si>
    <t>Encarregado</t>
  </si>
  <si>
    <t>Calculado</t>
  </si>
  <si>
    <t>Valor Médio Mensal por empregado</t>
  </si>
  <si>
    <t>Valor Médio Mensal Total</t>
  </si>
  <si>
    <t>Vigência do Contrato em Meses</t>
  </si>
  <si>
    <t>Proporção dos Custos do Contrato</t>
  </si>
  <si>
    <t>Assitencia Social e Familiar</t>
  </si>
  <si>
    <t>Plano Odontologico</t>
  </si>
  <si>
    <t>Data base da categoria (Repactuação)</t>
  </si>
  <si>
    <t>Desconto</t>
  </si>
  <si>
    <t>QTD/ANO</t>
  </si>
  <si>
    <t>MEDIDA</t>
  </si>
  <si>
    <t>UND</t>
  </si>
  <si>
    <t>QTD ANUAL</t>
  </si>
  <si>
    <t>QTD MENSAL</t>
  </si>
  <si>
    <t>CUSTO MÉDIO ANUAL (R$)</t>
  </si>
  <si>
    <t>E</t>
  </si>
  <si>
    <t>Plano Odontplógico</t>
  </si>
  <si>
    <t>Plano Odontológico</t>
  </si>
  <si>
    <t>Nº do Processo:</t>
  </si>
  <si>
    <t xml:space="preserve">Licitação Nº:  </t>
  </si>
  <si>
    <t>Data de apresentação da proposta (dia/mês/ano):</t>
  </si>
  <si>
    <t>Município/UF:</t>
  </si>
  <si>
    <t>Ano do Acordo, Convenção ou Dissídio Coletivo:</t>
  </si>
  <si>
    <t>Número de meses de execução contratual:</t>
  </si>
  <si>
    <t>Tipo de Serviço</t>
  </si>
  <si>
    <t>Unidade de Medida</t>
  </si>
  <si>
    <t>Quantidade total a contratar (Em função da unidade de medida)</t>
  </si>
  <si>
    <t>IDENTIFICAÇÃO DO SERVIÇO</t>
  </si>
  <si>
    <t>Dados para composição dos custos referentes a mão de obra</t>
  </si>
  <si>
    <t>Tipo de Serviço (mesmo serviço com características distintas)</t>
  </si>
  <si>
    <t>Classificação Brasileira de Ocupações (CBO)</t>
  </si>
  <si>
    <t>Salário Normativo da Categoria Profissional</t>
  </si>
  <si>
    <t>Categoria Profissional (vinculada à execução contratual)</t>
  </si>
  <si>
    <t>Data-Base da Categoria (dia/mês/ano)</t>
  </si>
  <si>
    <t>Lider de Serviços</t>
  </si>
  <si>
    <t>C.1</t>
  </si>
  <si>
    <t>C.2</t>
  </si>
  <si>
    <t>C.3</t>
  </si>
  <si>
    <t>Pá caixa coletora em Poliestireno e cabo anatômico em alumínio com altura ergonômica</t>
  </si>
  <si>
    <t>Balde espremedor MOP limpeza profissional</t>
  </si>
  <si>
    <t>Pavimento</t>
  </si>
  <si>
    <t>Local</t>
  </si>
  <si>
    <t>Tamanho Real</t>
  </si>
  <si>
    <t>Orientação</t>
  </si>
  <si>
    <t>Recepção</t>
  </si>
  <si>
    <t>Área Interna</t>
  </si>
  <si>
    <t>Área Externa</t>
  </si>
  <si>
    <t>Frequência</t>
  </si>
  <si>
    <t>Plano</t>
  </si>
  <si>
    <t>Atividades</t>
  </si>
  <si>
    <t>Fachada</t>
  </si>
  <si>
    <t>Caixa D'água</t>
  </si>
  <si>
    <t>Remuneração Mensal</t>
  </si>
  <si>
    <t>Remuneração Anual</t>
  </si>
  <si>
    <t>Proporção (Mín)</t>
  </si>
  <si>
    <t>Proporção (Máx)</t>
  </si>
  <si>
    <t>Média de Produtividade</t>
  </si>
  <si>
    <t>Álcool , de 1ª qualidade, 92° a 93° INPM</t>
  </si>
  <si>
    <t>Álcool em gel 70º INPM embalagem de 500 ML</t>
  </si>
  <si>
    <t>Porta-toalha, material: plástico abs, cor: branca, tipo fixação: parede, tipo uso: toalha de papel, aplicação: banheiro, características adicionais: 2 dobras, visor transparente para verificação do</t>
  </si>
  <si>
    <t>Saboneteira, material suporte: plástico, material reservatório: plástico, altura: 26 cm, largura: 11 cm, capacidade: 800 ml, cor: gelo</t>
  </si>
  <si>
    <t>Porta-papel higiênico, material: plástico abs, largura: 20 cm, altura: 27 cm, características adicionais: para rolo de 300 a 400 m</t>
  </si>
  <si>
    <t>Assento vaso sanitário, material: plástico, cor: branca, características adicionais: almofadado características adicionais: compatível: vaso sanitário deca modelo Monte Carlo.</t>
  </si>
  <si>
    <t>Lixeiras Multiuso Inox Prata de 15L com Pedal</t>
  </si>
  <si>
    <t>Refil para Saboneteira capacidade 800ml</t>
  </si>
  <si>
    <t>Cesto de Lixo em material plástico, capacidade 10 litros, SEM tampa</t>
  </si>
  <si>
    <t>Cesto de Lixo em material plástico, capacidade 60 litros, COM tampa</t>
  </si>
  <si>
    <t>Total da Mão de Obra</t>
  </si>
  <si>
    <t>(vazio)</t>
  </si>
  <si>
    <t>Soma de Remuneração Mensal</t>
  </si>
  <si>
    <t>Tempo Unitário Estimado das Atividades</t>
  </si>
  <si>
    <t>Tempo Total Estimado das Atividades</t>
  </si>
  <si>
    <t>Soma de Tempo Total Estimado das Atividades</t>
  </si>
  <si>
    <t>Soma de Tempo Unitário Estimado das Atividades</t>
  </si>
  <si>
    <t xml:space="preserve"> Valor Total por Agente de Limpeza </t>
  </si>
  <si>
    <t xml:space="preserve"> Valor Total por Líder de Serviços </t>
  </si>
  <si>
    <t>01.01.Pisos Acarpetados</t>
  </si>
  <si>
    <t>01.02.Pisos Frios</t>
  </si>
  <si>
    <t>01.02.Laboratórios</t>
  </si>
  <si>
    <t>01.03.Almoxarifados e Galpões</t>
  </si>
  <si>
    <t>01.04.Oficinas</t>
  </si>
  <si>
    <t>01.05.Áreas com espaços livres (saguão, hall e salão)</t>
  </si>
  <si>
    <t>01.06.Banheiros</t>
  </si>
  <si>
    <t>02.01.Pisos pavimentados adjacentes e contíguos às edificações</t>
  </si>
  <si>
    <t>02.01.Varrição de passeios e arruamentos</t>
  </si>
  <si>
    <t>02.03.Pátios e áreas verdes com alta frequência</t>
  </si>
  <si>
    <t>02.04.Pátios e áreas verdes com média frequência</t>
  </si>
  <si>
    <t>02.05.Pátios e áreas verdes com baixa frequência</t>
  </si>
  <si>
    <t>02.06.Coleta de detritos em pátios e áreas verdes com frequência diária</t>
  </si>
  <si>
    <t>03.01.Face externa com exposição a situação de risco</t>
  </si>
  <si>
    <t>03.02.Face externa sem exposição a situação de risco</t>
  </si>
  <si>
    <t>03.03.Face interna</t>
  </si>
  <si>
    <t>04.01.Fachadas Envidraçadas</t>
  </si>
  <si>
    <t>05.01.Enfermaria</t>
  </si>
  <si>
    <t>99.99.Não definido</t>
  </si>
  <si>
    <t>01.Diária</t>
  </si>
  <si>
    <t>02.Semanal</t>
  </si>
  <si>
    <t>03.Quinzenal</t>
  </si>
  <si>
    <t>04.Mensal</t>
  </si>
  <si>
    <t>05.Semestral</t>
  </si>
  <si>
    <t>Nº</t>
  </si>
  <si>
    <t>Selecionar o tipo da superfície</t>
  </si>
  <si>
    <t>Superfície</t>
  </si>
  <si>
    <t>Selecione a Periodicidade</t>
  </si>
  <si>
    <t>Área Efetiva Mensal</t>
  </si>
  <si>
    <t>Rotina Diária</t>
  </si>
  <si>
    <t>Produtividade Média Diária</t>
  </si>
  <si>
    <t>Jornada Diária</t>
  </si>
  <si>
    <t>Jornada Semanal</t>
  </si>
  <si>
    <t>Horas de Trabalho no Mês</t>
  </si>
  <si>
    <t>% da Diária</t>
  </si>
  <si>
    <t>Jornadas no mês</t>
  </si>
  <si>
    <t>Área Efetiva em Diária</t>
  </si>
  <si>
    <t>Mão de Obras</t>
  </si>
  <si>
    <t>Área Final para Remuneração</t>
  </si>
  <si>
    <t>Soma de Área Efetiva em Diária</t>
  </si>
  <si>
    <t>Soma de Mão de Obras</t>
  </si>
  <si>
    <t>Cargo</t>
  </si>
  <si>
    <t>Material</t>
  </si>
  <si>
    <t>Para calcular a provisão para rescisão usa-se o percentual por tipos de desligamentos para cada unidade da federação e para cada categoria de serviço, extraídos do Cadastro Geral de Empregados e Desempregados (CAGED) de 2018. Para o Amazonas, no serviço de limpeza, temos os seguintes percentuais:</t>
  </si>
  <si>
    <t>Base Cálculo</t>
  </si>
  <si>
    <t>Proporção mensal</t>
  </si>
  <si>
    <t>Percentual de Desligamento</t>
  </si>
  <si>
    <t>% incidencia</t>
  </si>
  <si>
    <t>% do Item</t>
  </si>
  <si>
    <t>Incidência do FGTS sobre Aviso Prévio Indenizado</t>
  </si>
  <si>
    <t>Multa do FGTS e Contribuição Social sobre o Aviso Prévio Indenizado</t>
  </si>
  <si>
    <t>Incidência de GPS, FGTS e outras contribuições sobre o Aviso Prévio Trabalhado</t>
  </si>
  <si>
    <t>F</t>
  </si>
  <si>
    <t>Multa do FGTS e Contribuição Social sobre o Aviso Prévio Trabalhado.</t>
  </si>
  <si>
    <t>MÓDULO 03 - PROVISÃO PARA RESCISÃO</t>
  </si>
  <si>
    <t>LÍDER DE LIMPEZA</t>
  </si>
  <si>
    <t>5,55% = percentual de empregados demitidos que não trabalham durante o aviso prévio, de acordo com estudo do STF (fls. 187/199 – volume IV)</t>
  </si>
  <si>
    <t>*Base de Calculo para Aviso Prévio Idenizado conforme metodologia Serges = Modulo 01 + Submódulo 2.1</t>
  </si>
  <si>
    <t>A incidência do FGTS sobre o aviso prévio indenizado pode ser extraída da interpretação do art. 15 da Lei 8.036/1990, que determina a contribuição mensal, a cargo do empregador, para o FGTS, correspondente a 8% da remuneração paga ou devida ao trabalhador no mês anterior. Remuneração, aqui, nos termos definidos nos arts. 457 e 458, da CLT, ou seja, inclui o salário básico e demais parcelas recebidas pelo empregado a propósito dos serviços prestados</t>
  </si>
  <si>
    <t>A incidência do FGTS sobre o aviso prévio indenizado é matéria pacificada na jurisprudência.</t>
  </si>
  <si>
    <t>* Base de Cálculo Incidencia de FGTS = Modulo 01 + Submódulo 2.1</t>
  </si>
  <si>
    <t>Todo empregado dispensado sem justa causa tem direito de receber, na forma de indenização, o valor correspondente a 40% sobre o saldo dos depósitos efetuados em sua conta vinculada ao FGTS, conforme consta do art. 18 da Lei 8.036/1990.</t>
  </si>
  <si>
    <t>Lei 13.392/2019 extinção da contribuição adicional de 10% sobre o FGTS</t>
  </si>
  <si>
    <t>*Base de Cálculo Multa do FGTS Módulo 01 + Submódulo 2.1</t>
  </si>
  <si>
    <t>O percentual de 94,45% corresponde a diferença percentual entre 100% e 5,55% (este é o
percentual de empregados que fazem jus ao aviso prévio indenizado, conforme consta do
item 11 do Relatório constante do Acórdão TCU nº 1.904/2007 – Plenário)</t>
  </si>
  <si>
    <t>*Memoria de Percentual de Incidencia da Multa de Fgts = 40%*8% = 3,20%</t>
  </si>
  <si>
    <t>Metodologia de Cálculo: Considerando-se que 56,24% dos faxineiros contratados pela administração pública foram demitidos sem justa causa pelo empregador, conforme dados do Cadastro Geral de Empregados e Desempregados (CAGED), referentes ao exercício de 2018, faz-se a provisão em relação à remuneração mensal do empregado, multiplica-se o citado percentual por 5,55%, que é o percentual de empregados que fazem jus ao aviso prévio indenizado, conforme consta do item 11 do Relatório constante do Acórdão TCU nº 1.904/2007 - Plenário.</t>
  </si>
  <si>
    <t>Total de Desligamentos</t>
  </si>
  <si>
    <t>PERCENTUAIS DE DESLIGAMENTOS - SEM JUSTA CAUSA</t>
  </si>
  <si>
    <t>Total de Encargos</t>
  </si>
  <si>
    <t>PIS</t>
  </si>
  <si>
    <t>Líder de Limpeza</t>
  </si>
  <si>
    <t xml:space="preserve">Maximo </t>
  </si>
  <si>
    <t>Mínimo</t>
  </si>
  <si>
    <t>LIMPEZA E CONSERVAÇÃO</t>
  </si>
  <si>
    <t xml:space="preserve">% de Desconto Transporte </t>
  </si>
  <si>
    <t>% de Desconto Alimentação</t>
  </si>
  <si>
    <t>4.1 - Substituto nas Ausências Legais</t>
  </si>
  <si>
    <t>Duração Legal</t>
  </si>
  <si>
    <t>Proporção Mensal</t>
  </si>
  <si>
    <t>% Anual</t>
  </si>
  <si>
    <t>Percentual de Incidencia Estudo</t>
  </si>
  <si>
    <t>Custo Mensal</t>
  </si>
  <si>
    <t>A. Substituto na cobertura de Férias</t>
  </si>
  <si>
    <t>B. Substituto na cobertura de Ausências Legais</t>
  </si>
  <si>
    <t>Ausência justificada</t>
  </si>
  <si>
    <t>C. Substituto na cobertura de Licença-Paternidade</t>
  </si>
  <si>
    <t>Paternidade</t>
  </si>
  <si>
    <t>D. Subst. na cob. de Ausênc. por acidente de trabalho</t>
  </si>
  <si>
    <t>Acidente de trabalho</t>
  </si>
  <si>
    <t>E. Substituto na cobertura de Afastamento Maternidade</t>
  </si>
  <si>
    <t>Maternidade</t>
  </si>
  <si>
    <t>F. Subst. na cob. de outras ausências (especificar)</t>
  </si>
  <si>
    <t>Afastamento por doença</t>
  </si>
  <si>
    <t>Consulta médica filho</t>
  </si>
  <si>
    <t>Óbitos na família</t>
  </si>
  <si>
    <t>Casamento</t>
  </si>
  <si>
    <t>Doação de sangue</t>
  </si>
  <si>
    <t>Testemunho</t>
  </si>
  <si>
    <t>Consulta pré-natal</t>
  </si>
  <si>
    <t>MÓDULO 04 - CUSTO DE REPOSIÇÃO DO PROFISSIONAL AUSENTE</t>
  </si>
  <si>
    <t xml:space="preserve">Percentuais de Estudo </t>
  </si>
  <si>
    <t>Percentuais SERGES - Cadernos Técnicos</t>
  </si>
  <si>
    <t>% MULTA DE FGTS</t>
  </si>
  <si>
    <t>Parâmetros- Módulo Substituto nas Ausências Legais</t>
  </si>
  <si>
    <t>FARDAMENTOS</t>
  </si>
  <si>
    <t>CUSTO ANUAL (R$)</t>
  </si>
  <si>
    <t>CUSTO MENSAL (R$)</t>
  </si>
  <si>
    <t>PREÇO UNITÁRIO (R$)</t>
  </si>
  <si>
    <t>QTDE. MENSAL</t>
  </si>
  <si>
    <t>QTDE. ANUAL</t>
  </si>
  <si>
    <t>TOTAL GERAL</t>
  </si>
  <si>
    <t>CUSTO POR FUNCIONÁRIO</t>
  </si>
  <si>
    <t>QUANTIDADE DE FUNCIONÁRIOS</t>
  </si>
  <si>
    <t>Outros (Especificar)</t>
  </si>
  <si>
    <t>(%)VALOR RESIDUAL</t>
  </si>
  <si>
    <t>1</t>
  </si>
  <si>
    <t xml:space="preserve"> Substituto na cobertura de Férias</t>
  </si>
  <si>
    <t xml:space="preserve"> Substituto na cobertura de Ausências Legais</t>
  </si>
  <si>
    <t>Substituto na cobertura de Licença-Paternidade</t>
  </si>
  <si>
    <t>Subst. na cob. de Ausênc. por acidente de trabalho</t>
  </si>
  <si>
    <t xml:space="preserve"> Substituto na cobertura de Afastamento Maternidade</t>
  </si>
  <si>
    <t>Subst. na cob. de outras ausências (especificar)</t>
  </si>
  <si>
    <t>Custo de Reposição do Profissional Ausente</t>
  </si>
  <si>
    <t>51430-20</t>
  </si>
  <si>
    <t>4101-05</t>
  </si>
  <si>
    <t>Enquadramento Tributário</t>
  </si>
  <si>
    <t>Conservação e Limpeza</t>
  </si>
  <si>
    <t>PARÂMETROS - MÓDULO 6</t>
  </si>
  <si>
    <t>Vale Transporte</t>
  </si>
  <si>
    <t xml:space="preserve">Vale Transporte </t>
  </si>
  <si>
    <t>ADIOCIONAL DE FÉRIAS</t>
  </si>
  <si>
    <t>13 SALÁRIO E FÉRIAS</t>
  </si>
  <si>
    <t>ENCARGOS</t>
  </si>
  <si>
    <t>Facão, material lâmina: aço carbono, material cabo; madeira, comprimento: 21 pol, tipo: terçado (anual)</t>
  </si>
  <si>
    <t>Vassoura de cipó (trimestral)</t>
  </si>
  <si>
    <t>Vassoura de pêlos (semestral)</t>
  </si>
  <si>
    <t>Vassoura de piaçava</t>
  </si>
  <si>
    <t>Carrinho Plataforma</t>
  </si>
  <si>
    <t>Lavadora/Enceradeira Industrial completa com acessórios (escova para limpeza, base suporte com velcro, Discos de Piso para Limpeza)</t>
  </si>
  <si>
    <t>Escada de alumínio com 12 degraus, 3 m.</t>
  </si>
  <si>
    <t>Escada em alumínio de abrir com 7 degraus.</t>
  </si>
  <si>
    <t>Carro funcional para limpeza.</t>
  </si>
  <si>
    <t>Lavadora de alta pressão compacta 2 rodas, no minimo de potencia 1,5 kW. Tipo semi-profissional, 110V . Modelo equivalente, ou similar e ou de melhor qualidade  à KARCHER.</t>
  </si>
  <si>
    <t>Óculos de Proteção.</t>
  </si>
  <si>
    <t>Placa sinalizadora "cuidado piso molhado"</t>
  </si>
  <si>
    <t>Podador PROFISSIONAL a gasolina</t>
  </si>
  <si>
    <t>Pulverizador Costal Manual Compressão Prévia 20 Litros com 4 bicos</t>
  </si>
  <si>
    <t>Roçadeira STIHL FS 220 PROFISSIONAL</t>
  </si>
  <si>
    <t>Ancinho para jardim 40cm</t>
  </si>
  <si>
    <t>Bobina de fio de nylon quadrado 3,0 mm 2kg para roçadeira</t>
  </si>
  <si>
    <t>Cera acrílica autobrilhante, antiderrapante (incolor)</t>
  </si>
  <si>
    <t>Cera acrílico. Galão 5 litros</t>
  </si>
  <si>
    <t>Cera liquida incolor</t>
  </si>
  <si>
    <t>Desengraxante líquido pra uso geral</t>
  </si>
  <si>
    <t>Detergente biodegradável líquido para lavar louça, frasco com 500ml</t>
  </si>
  <si>
    <t>Detergente líquido neutro</t>
  </si>
  <si>
    <t>Detergente neutro emblagem em 5 litro</t>
  </si>
  <si>
    <t>Disco de Piso para Limpeza Profissional</t>
  </si>
  <si>
    <t>Dispenser para alcool gel em aço inox com pressão - 1000 ml</t>
  </si>
  <si>
    <t>Dispenser para alcool gel em aço inox com pressão - 500 ml</t>
  </si>
  <si>
    <t>Dispenser para alcool gel em plastico 800 ml</t>
  </si>
  <si>
    <t>Espanador de teto cabo extensivo até 2,5</t>
  </si>
  <si>
    <t>Esponja de fibra com dupla face, pacote 10 unidade.</t>
  </si>
  <si>
    <t>Esponja de fibra uso geral-profissional 10x26</t>
  </si>
  <si>
    <t>Extensão de 50mt</t>
  </si>
  <si>
    <t>Frasco borrifador de plástico 500ml</t>
  </si>
  <si>
    <t>Inseticida aerossol ação total 300ml</t>
  </si>
  <si>
    <t>Lâmina Navalha Em Hélice Para Roçadeira Furo De 1</t>
  </si>
  <si>
    <t>Limpador de piso e cerâmica, frasco com 1 litro</t>
  </si>
  <si>
    <t>Limpador multiuso concentrado embalagem em 5litros</t>
  </si>
  <si>
    <t>Lixeira Basculante de 60 litros (Alt 91 cm x Larg 1,49cm x Profund 37 cm) c/ Tampa vai-e-vem. Cor AMARELA</t>
  </si>
  <si>
    <t>Lixeira Basculante de 60 litros (Alt 91 cm x Larg 1,49cm x Profund 37 cm) c/ Tampa vai-e-vem. Cor AZUL</t>
  </si>
  <si>
    <t>Lixeira Basculante de 60 litros (Alt 91 cm x Larg 1,49cm x Profund 37 cm) c/ Tampa vai-e-vem. Cor BRANCA</t>
  </si>
  <si>
    <t>Lixeira Basculante de 60 litros (Alt 91 cm x Larg 1,49cm x Profund 37 cm) c/ Tampa vai-e-vem. Cor MARROM</t>
  </si>
  <si>
    <t>Lixeira Basculante de 60 litros (Alt 91 cm x Larg 1,49cm x Profund 37 cm) c/ Tampa vai-e-vem. Cor VERDE</t>
  </si>
  <si>
    <t>Lixeira Basculante de 60 litros (Alt 91 cm x Larg 1,49cm x Profund 37 cm) c/ Tampa vai-e-vem. Cor VERMELHA</t>
  </si>
  <si>
    <t>Luva de látex para procedimentos, tamanho G, não estéril. Pacote com 100 unidades</t>
  </si>
  <si>
    <t>Luva Descartável p/ procedimentos não cirúrgicos. Em látex 100% natural, sem talco. (cx 100 und)</t>
  </si>
  <si>
    <t>Luva Pigmentada preto</t>
  </si>
  <si>
    <t>Mangueira Jardim Flex com Engates, possui 3 camadas em PVC.30 metros</t>
  </si>
  <si>
    <t>Mangueira para jardim 50m</t>
  </si>
  <si>
    <t>Máscara descartável branca, pacote com 50 unidades</t>
  </si>
  <si>
    <t>Mop Abrasivo com cabo-limpeza geral</t>
  </si>
  <si>
    <t>Óculos de proteção lente incolor em policarbonato, antiembassante e antirisco</t>
  </si>
  <si>
    <t>Óleo 2T Oleo para Roçadeiras 500ml</t>
  </si>
  <si>
    <t>Oleo de Peroba 100 ml</t>
  </si>
  <si>
    <t>Óleo de peroba, recipiente 300ml</t>
  </si>
  <si>
    <t>Pá de lixo cabo baixo</t>
  </si>
  <si>
    <t>Palha de aço nº 02, pacote com 12 unidades.</t>
  </si>
  <si>
    <t>Pano de prato de algodão100% algodão, medindo 40 x 70cm.</t>
  </si>
  <si>
    <t>Papel higiênico branco, 10cm x300m, pacote com 4 rolos.</t>
  </si>
  <si>
    <t>Papel toalha, branco plus, interfolhado, não reciclado, fardo com 2.000 folhas</t>
  </si>
  <si>
    <t>Porta papel toalha branco de 2 ou 3 dobras interfolhas 20x21cm</t>
  </si>
  <si>
    <t>Refil Mop Pó 60cm</t>
  </si>
  <si>
    <t>Refil para mop abrasivo</t>
  </si>
  <si>
    <t>Refil para Saboneteira capacidade 800ml SEMESTRAL</t>
  </si>
  <si>
    <t>Rodo em plastico de 45cm</t>
  </si>
  <si>
    <t>Rodo em plastico de 60cm com cabo</t>
  </si>
  <si>
    <t>Rodo TAM. 40 CM</t>
  </si>
  <si>
    <t>Rolo de pano multiuso tamanho 28x300m azul</t>
  </si>
  <si>
    <t>Sabão em barra neutro, embalagem com 1kg</t>
  </si>
  <si>
    <t>Sabão em barra, pacote com 05 unid de 200 gramas.</t>
  </si>
  <si>
    <t>Saco plástico preto para lixo capacidade 15 litros, embalagem lacrada, rolo/pacote com 100 unidades cada.</t>
  </si>
  <si>
    <t>Tesoura de Poda, Tesoura Jardinagem, 50 cm, Cabo Madeira Composição Metal e madeira</t>
  </si>
  <si>
    <t>Vassoura de canto</t>
  </si>
  <si>
    <t>Vassoura de Piaçava de 40cm</t>
  </si>
  <si>
    <t>Vassoura de Piaçava de 60cm</t>
  </si>
  <si>
    <t>Vassoura escovão com cabo de 60cm</t>
  </si>
  <si>
    <t>Vassoura para jardim 22 dentes com cabo, palheta regulado com aço temperado</t>
  </si>
  <si>
    <t>GALÂO 5 L</t>
  </si>
  <si>
    <t>LITRO</t>
  </si>
  <si>
    <t>Par</t>
  </si>
  <si>
    <t>CAIXA</t>
  </si>
  <si>
    <t>Desinfetante Concetrados com 5L</t>
  </si>
  <si>
    <t>Calça comprida com elástico e cordão, em gabardine,  c/ bolsos frontais.</t>
  </si>
  <si>
    <t>Chapéu tipo pescador com protetor de pescoço</t>
  </si>
  <si>
    <t>Calçado feminino/masculino de segurança de couro, com biqueira de
polipropileno, elástico nas laterais, palmilha antibacteriana.</t>
  </si>
  <si>
    <t>Camiseta malha fria manga longa, com gola esporte, em gabardine, com emblema da empresa pintado ou bordado.</t>
  </si>
  <si>
    <t>Calçado feminino/masculino de segurança de couro, com biqueira de polipropileno, elástico nas laterais, palmilha antibacteriana.</t>
  </si>
  <si>
    <t>Diário</t>
  </si>
  <si>
    <t>Recolher o lixo, varrer e passar pano</t>
  </si>
  <si>
    <t>Térreo</t>
  </si>
  <si>
    <t>Limpar a porta de vidro central
Retirar o lixo, acondicionando-o em sacos plásticos de cem litros, removendo-os para o local indicado pela Admnistração;
Limpar face externa  e interna quando necessário, em conformidade com as normas de segurança de trabalho, aplicando-lhes produtos antiembaçantes.
Limpar o bebedouro</t>
  </si>
  <si>
    <t xml:space="preserve"> Laboratório de Informática</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</si>
  <si>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Limpar os quadros em geral.</t>
  </si>
  <si>
    <t>Sala  de atendimento ao educando</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</si>
  <si>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Verificar e se necessário, limpar atrás, em cima ou embaixo dos móveis (armários, gaveteiros, mesas e etc.);</t>
  </si>
  <si>
    <t>Sala de Atendimento Psicológico</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</si>
  <si>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t>
  </si>
  <si>
    <t>Sala de atendimento de saúde</t>
  </si>
  <si>
    <t>Banheiro (Prédio Liceu)</t>
  </si>
  <si>
    <t>Limpar e desinfetar o chão dos banheiros com saneante domissanitário e coletar o respectivo lixo;  
Lavar ou Limpar os espelhos, pias, box, portas e paredes dos banheiros;
Abastecer com papel toalha os banheiros;
Abastecer com sabonete líquido e papel higiênico os banheiros;</t>
  </si>
  <si>
    <t>Sala de aula 1 - ANEXO</t>
  </si>
  <si>
    <t>Limpar e polir piso, as mesas, cadeiras, poltronas, armários, arquivos, prateleiras, peitoris, caixilhos das janelas e demais móveis existentes, extintores de incêndio e outros similares;
Limpar os projetores  e demais equipamentos sobre as mesas, com flanelas e com produtos adequados.
Retirar o lixo, acondicionando-o em sacos plásticos de cem litros, removendo-os para local indicado pela Administração;
Limpar os quadros em geral.
Verificar e se necessário, limpar atrás, em cima ou embaixo dos móveis (armários, gaveteiros, mesas e etc.);</t>
  </si>
  <si>
    <t>Sala de aula 2 - ANEXO</t>
  </si>
  <si>
    <t>Área externa (calçada 1)</t>
  </si>
  <si>
    <t>Lavar</t>
  </si>
  <si>
    <t>Lavar com jato de água de alta pressão quando necessário.
Enxugar sempre que chover.</t>
  </si>
  <si>
    <t>Área externa (calçada 2)</t>
  </si>
  <si>
    <t>Sala de aula 3 -Anexo</t>
  </si>
  <si>
    <t>Sala de aula 4 -Anexo</t>
  </si>
  <si>
    <t>Sala de aula 5 -Anexo</t>
  </si>
  <si>
    <t>Sala de aula 6 -Anexo</t>
  </si>
  <si>
    <t>Banheiro (prédio anexo)</t>
  </si>
  <si>
    <t>Limpar e desinfetar o chão dos banheiros com saneante domissanitário e coletar o respectivo lixo;
Lavar ou Limpar os espelhos, pias, box, portas e paredes dos banheiros;
Abastecer com papel toalha os banheiros;
Abastecer com sabonete líquido e papel higiênico os banheiros;</t>
  </si>
  <si>
    <t>Escadas principais</t>
  </si>
  <si>
    <t>Varrer e passar pano</t>
  </si>
  <si>
    <t>1º Andar</t>
  </si>
  <si>
    <t>Varrer e passar pano úmido com desinfetante em todos os degraus
Passar pano úmido com desinfetante em toda a extensão dos corrimãos.</t>
  </si>
  <si>
    <t>Corredor lateral</t>
  </si>
  <si>
    <t>Varrer e passar diariamene.
Retirar o lixo sempre que necessário</t>
  </si>
  <si>
    <t>Laboratório de Informática</t>
  </si>
  <si>
    <t>Limpar e polir piso, as mesas, cadeiras, poltronas, armários, arquivos, prateleiras, peitoris, caixilhos das janelas e demais móveis existentes, extintores de incêndio e outros similares;
Limpar os aparelhos telefônicos, microcomputadores e demais equipamentos sobre as mesas, com flanelas e com produtos adequados.
Retirar o lixo, acondicionando-o em sacos plásticos de cem litros, removendo-os para local indicado pela Administração;
Limpar os quadros em geral.
Verificar e se necessário, limpar atrás, em cima ou embaixo dos móveis (armários, gaveteiros, mesas e etc.);</t>
  </si>
  <si>
    <t>Banheiro (sala de manutenção dos computadore)s</t>
  </si>
  <si>
    <t xml:space="preserve">Área de circulação (corredor) </t>
  </si>
  <si>
    <t>Varrer e passar pano diariamente.
Retirar o lixo sempre que necessário.</t>
  </si>
  <si>
    <t>Área próxima ao banheiro</t>
  </si>
  <si>
    <t>Laboratório de manutenção computadores</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</si>
  <si>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Limpar os quadros em geral.
Verificar e se necessário, limpar atrás, em cima ou embaixo dos móveis (armários, gaveteiros, mesas e etc.);</t>
  </si>
  <si>
    <t>Sala do Rack (servidor)</t>
  </si>
  <si>
    <t>Limpar e polir piso, as mesas, cadeiras, poltronas, armários, arquivos, prateleiras, peitoris, caixilhos das janelas e demais móveis existentes, extintores de incêndio e outros similares;
Limpar os equipamentos de informáticas e demais  sobre as mesas, com flanelas e com produtos adequados.
Retirar o lixo, acondicionando-o em sacos plásticos de cem litros, removendo-os para local indicado pela Administração;
Verificar e se necessário, limpar atrás, em cima ou embaixo dos móveis (armários, gaveteiros, mesas e etc.);</t>
  </si>
  <si>
    <t>Mensal</t>
  </si>
  <si>
    <t>1ºandar</t>
  </si>
  <si>
    <t>Com o reservatório vazio, escovar as paredes e o fundo do reservatório com escova com cerdas de nylon ou piaçava e remover todo material desprendido. Pode ser utilizado esguicho de água nas paredes e no fundo e, nesse caso, as águas de lavagens devem ser descartadas através da tubulação de limpeza na galeria de água pluviais.
Enxaguar todo o reservatório lançando o resíduo através da tubulação de limpeza, na galeria de águas pluviais.
Encher a caixa e acrescente 1 litro de água sanitária para cada 1.000 (mil) litros de água. 
Esperar 2 horas, feche a entrada de água e esvazie a caixa. Esta água servirá para limpar e desinfetar os canos.</t>
  </si>
  <si>
    <t>Vidraças (Prédio Liceu)</t>
  </si>
  <si>
    <t>Passar Pano</t>
  </si>
  <si>
    <t>limpar  e passar  pano com produto adequado para limpeza de vidraças.</t>
  </si>
  <si>
    <t>Área externa  (calçada 3)</t>
  </si>
  <si>
    <t xml:space="preserve">Biblioteca </t>
  </si>
  <si>
    <t>Limpar e polir piso, as mesas, cadeiras, poltronas, armários, arquivos, prateleiras, peitoris, caixilhos das janelas e demais móveis existentes, extintores de incêndio e outros similares;
Limpar  microcomputadores e demais equipamentos sobre as mesas, com flanelas e com produtos adequados.
Retirar o lixo, acondicionando-o em sacos plásticos de cem litros, removendo-os para local indicado pela Administração;
Limpar os quadros em geral.
Limpar os bebedouros.
Verificar e se necessário, limpar atrás, em cima ou embaixo dos móveis (armários, gaveteiros, mesas e etc.);</t>
  </si>
  <si>
    <t>Sala de Estudo</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</si>
  <si>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Verificar e se necessário, limpar atrás, em cima ou embaixo dos móveis (armários, gaveteiros, mesas e etc.);</t>
  </si>
  <si>
    <t xml:space="preserve">Área Externa de circulação - (Centro de Referência) </t>
  </si>
  <si>
    <t>Varrer e passar diariamene.
Enxugar sempre que chover.</t>
  </si>
  <si>
    <t>Limpar placas de identificação, sinalização, letreiros e totens fixados em paredes, pisos e fachadas.</t>
  </si>
  <si>
    <t xml:space="preserve">Área  externa (frente do prédio centro de referência </t>
  </si>
  <si>
    <t>lavar</t>
  </si>
  <si>
    <t>Sala dos professores</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</si>
  <si>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Limpar os quadros em geral.
Verificar e se necessário, limpar atrás, em cima ou embaixo dos móveis (armários, gaveteiros, mesas e etc.);</t>
  </si>
  <si>
    <t xml:space="preserve"> Sala dos coordenadores</t>
  </si>
  <si>
    <t>Limpar e polir piso, as mesas, cadeiras, poltronas, armários, arquivos, prateleiras, peitoris, caixilhos das janelas e demais móveis existentes, extintores de incêndio e outros similares;
Limpar os  microcomputadores e demais equipamentos sobre as mesas, com flanelas e com produtos adequados.
Retirar o lixo, acondicionando-o em sacos plásticos de cem litros, removendo-os para local indicado pela Administração;
Verificar e se necessário, limpar atrás, em cima ou embaixo dos móveis (armários, gaveteiros, mesas e etc.);</t>
  </si>
  <si>
    <t>Sala do DEPE</t>
  </si>
  <si>
    <t>Sala de adicionamento da merenda</t>
  </si>
  <si>
    <t>Varrer e passar o pano sempre que necessário.</t>
  </si>
  <si>
    <t xml:space="preserve">Retirar o lixo, acondicionando-o em sacos plásticos de cem litros, removendo-os para local indicado pela Administração;                                                                                                                                                                                                 Retirar a poeria e gordura das paredes assim como outras sujeiras como teias de aranhas, traças, etc., com pano úmido e produtos antimicrobianos.                                                             </t>
  </si>
  <si>
    <t>Sala do DAP</t>
  </si>
  <si>
    <t>Limpar e polir piso, as mesas, cadeiras, poltronas, armários, arquivos, prateleiras, peitoris, caixilhos das janelas e demais móveis existentes, extintores de incêndio e outros similares;
Limpar os aparelhos telefônicos, microcomputadores e demais equipamentos sobre as mesas, com flanelas e com produtos adequados.
Retirar o lixo, acondicionando-o em sacos plásticos de cem litros, removendo-os para local indicado pela Administração;
Limpar os quadros em geral.
Limpar os bebedouros.
Verificar e se necessário, limpar atrás, em cima ou embaixo dos móveis (armários, gaveteiros, mesas e etc.);</t>
  </si>
  <si>
    <t>Sala da Direção Geral</t>
  </si>
  <si>
    <t>Vidraças (Prédio Centro de Referência)</t>
  </si>
  <si>
    <t>Plimpar e passar  pano  com produto adequado para limpeza de vidraças</t>
  </si>
  <si>
    <t>Sala de aula 1  - (Prédio Centro de Referência)</t>
  </si>
  <si>
    <t>Limpar e polir piso, as mesas, cadeiras, poltronas, armários, arquivos, prateleiras, peitoris, caixilhos das janelas e demais móveis existentes, extintores de incêndio e outros similares;
Limpar os projetores, microcomputadores e demais equipamentos sobre as mesas, com flanelas e com produtos adequados.
Retirar o lixo, acondicionando-o em sacos plásticos de cem litros, removendo-os para local indicado pela Administração;
Limpar os quadros em geral.
Verificar e se necessário, limpar atrás, em cima ou embaixo dos móveis (armários, gaveteiros, mesas e etc.);</t>
  </si>
  <si>
    <t>Sala de aula 2  - (Prédio Centro de Referência)</t>
  </si>
  <si>
    <t>Sala de aula 3  - (Prédio Centro de Referência)</t>
  </si>
  <si>
    <t>Laboratório de informática - (Prédio Centro de Referência)</t>
  </si>
  <si>
    <t>Banheiros masculino</t>
  </si>
  <si>
    <t>Banheiros feminino</t>
  </si>
  <si>
    <t xml:space="preserve">Depósito de materiais </t>
  </si>
  <si>
    <t>Varrer e passar pano sempre que necessário</t>
  </si>
  <si>
    <t>Corredor central</t>
  </si>
  <si>
    <t>Varrer e passar pano diariamente.
Retirar lixo sempre que necessário</t>
  </si>
  <si>
    <t>Área de convivência</t>
  </si>
  <si>
    <t>Limpar e polir piso, as mesas, cadeiras, poltronas, armários, arquivos, prateleiras, peitoris, caixilhos das janelas e demais móveis existentes, extintores de incêndio e outros similares;
Retirar o lixo, acondicionando-o em sacos plásticos de cem litros, removendo-os para local indicado pela Administração;
Verificar e se necessário, limpar atrás, em cima ou embaixo dos móveis (armários, gaveteiros, mesas e etc.);</t>
  </si>
  <si>
    <t>Produtividade (1/M2)</t>
  </si>
  <si>
    <t>Frequência de Horas no Mês</t>
  </si>
  <si>
    <t>Jornada de Trabalho mês</t>
  </si>
  <si>
    <t>Proporção de Horas Trabalhadas pela Produtividade Adotada2</t>
  </si>
  <si>
    <t>Custo Mensal Estimado Lider</t>
  </si>
  <si>
    <t>Custo Mensal Estimado Agente</t>
  </si>
  <si>
    <t>INDENTIFICAÇÃO DA EMPRESA LICITANTE E PROPOSTA DA LICITAÇÃO</t>
  </si>
  <si>
    <t>PARÂMETROS DA CONVENÇÃO COLETIVA</t>
  </si>
  <si>
    <t>PARÂMETRO PARA TRIBUTAÇÃO, LUCRO E CUSTOS INDIRETOS</t>
  </si>
  <si>
    <t>PARÂMETROS PARA MÓDULO RESCISÃO E SUBSTITUTO NAS AUSÊNCIAS LEGAIS</t>
  </si>
  <si>
    <t>PARÂMETRO PARA FARDAMENTO, EQUIPAMENTOS E UTENSÍLIOS</t>
  </si>
  <si>
    <t>PARÂMETRO PARA MATERIAIS</t>
  </si>
  <si>
    <t>INDETIFICAÇÃO DA LICITANTE</t>
  </si>
  <si>
    <t>RESULTADO</t>
  </si>
  <si>
    <t>CONVEÇÃO COLETIVA VIGENTE</t>
  </si>
  <si>
    <t>PARÂMETROS - SUBMÓDULO 2.2</t>
  </si>
  <si>
    <t>Módulo Rescisão</t>
  </si>
  <si>
    <t>Percentuais (%)</t>
  </si>
  <si>
    <t>FARDAMENTO</t>
  </si>
  <si>
    <t>VALOR (R$)</t>
  </si>
  <si>
    <t>RAZÃO SOCIAL:</t>
  </si>
  <si>
    <t>Água sanitária de 1ª qualidade</t>
  </si>
  <si>
    <t>GARRAFAS 1L</t>
  </si>
  <si>
    <t>CNPJ:</t>
  </si>
  <si>
    <t>NOME FANTASIA:</t>
  </si>
  <si>
    <t>NÚMERO DO PROCESSO LICITATÓRIO</t>
  </si>
  <si>
    <t>Aromatizantes de ambientes concentrado liquido</t>
  </si>
  <si>
    <t>GALÃO 5 L</t>
  </si>
  <si>
    <t>MUNICÍPIO DE PRESTAÇÃO DO SERVIÇO:</t>
  </si>
  <si>
    <t>DATA DE APRESENTAÇÃO DA PROPOSTA (dia/mês/ano):</t>
  </si>
  <si>
    <t>NÚMERO DA LICITAÇÃO</t>
  </si>
  <si>
    <t>NUMERO DA CONVÊNCÃO COLETIVA DA CATEGORIA</t>
  </si>
  <si>
    <t>Cera impermeabilizante 5L</t>
  </si>
  <si>
    <t>NÚMERO DE MESES DE EXECUÇÃO CONTRATUAL</t>
  </si>
  <si>
    <t>Cera impermeabilizante líquida de proteção e resistência prolongada a pisos com grande tráfego, com alto brilho,
embalagem de 5 litros</t>
  </si>
  <si>
    <t>Conjunto para proteção de chuvas, sendo Blusão e calça confeccionados em nylon emborrachado e/ou FR, costura e termoselado, jaqueta mangas longas, pala de ventilação na frente e nas costa, faixa refletiva nos braços e envolta do tórax, fechamento por zíper e pala com velcro. Calça elástico e cadarço na cintura, aleta com velcro para ajuste no tornozelo.</t>
  </si>
  <si>
    <t>FRASCO 1L</t>
  </si>
  <si>
    <t>Desentupidor de vaso sanitário</t>
  </si>
  <si>
    <t>FRASCO 400ml</t>
  </si>
  <si>
    <t>FRASCO 500ml</t>
  </si>
  <si>
    <t>Detergente 500ml</t>
  </si>
  <si>
    <t>Carrinho de mão com caçamba metalica de 45 cm</t>
  </si>
  <si>
    <t>Dispenser para sabonete líquido em plastico 500 ml</t>
  </si>
  <si>
    <t>Balde Plastico de 20 litros</t>
  </si>
  <si>
    <t>Balde Plastico de 12 litros</t>
  </si>
  <si>
    <t>Carrinho de Limpeza MOP</t>
  </si>
  <si>
    <t>Tesoura de poda para uso geral de 35cm</t>
  </si>
  <si>
    <t>Vassoura De Ancinho Plástica Com Cabo</t>
  </si>
  <si>
    <t>Vassoura Poliester 40cm</t>
  </si>
  <si>
    <t>Papel toalha branco, 100% celulose, fibra celulósica, fardo c/ 1250 folhas, medindo 225 x 210.</t>
  </si>
  <si>
    <t>Cesto de lixo para coleta seletiva de 50 litros- jogo com 4 unidades com suporte</t>
  </si>
  <si>
    <t>Papel toalha branco, 100% celulose, fibra celulósica, pacote com 2 rolos, medindo 225 x 210.</t>
  </si>
  <si>
    <t xml:space="preserve">Contentor de lixo de 120 litros com rodas </t>
  </si>
  <si>
    <t>Porta Rolão Papel Higiênico em Plástico ABS para Rolos de 300m</t>
  </si>
  <si>
    <t>Pá de lixo com cabo</t>
  </si>
  <si>
    <t>Rodo Plástico Boarracha Dupla 40cm mínimo</t>
  </si>
  <si>
    <t>Rolo de Papel filme PVC 28x100</t>
  </si>
  <si>
    <t>Sabâo em barra, 4kg, côco (1kg)</t>
  </si>
  <si>
    <t>Sabão em pó, pacote 500 gr</t>
  </si>
  <si>
    <r>
      <t>Produtividade Mínima (m</t>
    </r>
    <r>
      <rPr>
        <vertAlign val="superscript"/>
        <sz val="10"/>
        <color theme="0"/>
        <rFont val="Times New Roman"/>
        <family val="1"/>
      </rPr>
      <t>2</t>
    </r>
    <r>
      <rPr>
        <sz val="10"/>
        <color theme="0"/>
        <rFont val="Times New Roman"/>
        <family val="1"/>
      </rPr>
      <t>)</t>
    </r>
  </si>
  <si>
    <r>
      <t>Produtividade Máxima (m</t>
    </r>
    <r>
      <rPr>
        <b/>
        <vertAlign val="superscript"/>
        <sz val="10"/>
        <color theme="0"/>
        <rFont val="Times New Roman"/>
        <family val="1"/>
      </rPr>
      <t>2</t>
    </r>
    <r>
      <rPr>
        <b/>
        <sz val="10"/>
        <color theme="0"/>
        <rFont val="Times New Roman"/>
        <family val="1"/>
      </rPr>
      <t>)</t>
    </r>
  </si>
  <si>
    <r>
      <t>Custo do M</t>
    </r>
    <r>
      <rPr>
        <b/>
        <vertAlign val="superscript"/>
        <sz val="10"/>
        <color theme="0"/>
        <rFont val="Times New Roman"/>
        <family val="1"/>
      </rPr>
      <t>2</t>
    </r>
    <r>
      <rPr>
        <b/>
        <sz val="10"/>
        <color theme="0"/>
        <rFont val="Times New Roman"/>
        <family val="1"/>
      </rPr>
      <t xml:space="preserve"> limpo pelo Agente</t>
    </r>
  </si>
  <si>
    <r>
      <t>Custo do M</t>
    </r>
    <r>
      <rPr>
        <b/>
        <vertAlign val="superscript"/>
        <sz val="10"/>
        <color theme="0"/>
        <rFont val="Times New Roman"/>
        <family val="1"/>
      </rPr>
      <t>2</t>
    </r>
    <r>
      <rPr>
        <b/>
        <sz val="10"/>
        <color theme="0"/>
        <rFont val="Times New Roman"/>
        <family val="1"/>
      </rPr>
      <t xml:space="preserve"> limpo pelo Líder</t>
    </r>
  </si>
  <si>
    <r>
      <t>Custo Total do M</t>
    </r>
    <r>
      <rPr>
        <b/>
        <vertAlign val="superscript"/>
        <sz val="10"/>
        <color theme="0"/>
        <rFont val="Times New Roman"/>
        <family val="1"/>
      </rPr>
      <t>2</t>
    </r>
    <r>
      <rPr>
        <b/>
        <sz val="10"/>
        <color theme="0"/>
        <rFont val="Times New Roman"/>
        <family val="1"/>
      </rPr>
      <t xml:space="preserve"> limpo</t>
    </r>
  </si>
  <si>
    <t>Média de Custo do M2 limpo pelo Agente</t>
  </si>
  <si>
    <t>Média de Custo do M2 limpo pelo Líder</t>
  </si>
  <si>
    <t>Média de Custo Total do M2 limpo</t>
  </si>
  <si>
    <t>Soma de Custo Mensal Estimado Agente</t>
  </si>
  <si>
    <t>Soma de Custo Mensal Estimado Lider</t>
  </si>
  <si>
    <t>Média de custos do M2 limpo pelo Agente</t>
  </si>
  <si>
    <t>Média de custos do M2 limpo pelo Líder</t>
  </si>
  <si>
    <t>Média de Custos do M2 limpo total</t>
  </si>
  <si>
    <t>Remuneração Mensal Agente</t>
  </si>
  <si>
    <t>Remuneração Mensal Líder</t>
  </si>
  <si>
    <t>Remuneração Mensal Total</t>
  </si>
  <si>
    <t xml:space="preserve">UNIDADE </t>
  </si>
  <si>
    <t xml:space="preserve">CONJUNTO </t>
  </si>
  <si>
    <t>ALTERADO DE 60 PARA 25 POIS O QUANTITATIVO ESTAVA MUITO ELEVADO</t>
  </si>
  <si>
    <t>ALTERADO DE 30 PARA 14 POIS O QUANTITATIVO ESTAVA MUITO ELEVADO</t>
  </si>
  <si>
    <t>QUANTIDADE ITEM</t>
  </si>
  <si>
    <t>Encargo</t>
  </si>
  <si>
    <t>Valor Médio Anual do Contrato</t>
  </si>
  <si>
    <t>Custo Global</t>
  </si>
  <si>
    <t xml:space="preserve">DESEQUILÍBRIO DA PROPOSTA </t>
  </si>
  <si>
    <t>Descrição</t>
  </si>
  <si>
    <t>Valor Médio Mensal por empregado M2</t>
  </si>
  <si>
    <t>Valor Médio anual Total M2</t>
  </si>
  <si>
    <t>Valor Médio Mensal por empregado quantidade</t>
  </si>
  <si>
    <t>Valor Médio anual Total Quantidade</t>
  </si>
  <si>
    <t xml:space="preserve">Desequilíbrio de Confronto Mensal </t>
  </si>
  <si>
    <t>Desequilíbrio de Confronto Anual</t>
  </si>
  <si>
    <t>Importante: Quando o desequilíbrio é positivo o prejuizo é para o IFAM, quando torna-se negativo o prejuizo é para a empresa</t>
  </si>
  <si>
    <t xml:space="preserve">NOTA 01: </t>
  </si>
  <si>
    <t xml:space="preserve">Quando houver prejuizo para a empresa, no momento da análise da proposta deve-se colocar em contrapartida com o lucro anual, ou seja, prejuizo anual da empresa versus lucro anual da proposta </t>
  </si>
  <si>
    <t>NOTA 02: Quando houver prejuizo para o IFAM o pregoeiro pode solicitar um desconto no limite do prejuizo sem afetar a proposta</t>
  </si>
  <si>
    <t>Limpador multiuso 1 litro</t>
  </si>
  <si>
    <t>Limpeza e Conservação</t>
  </si>
  <si>
    <t>Metro Quadrado</t>
  </si>
  <si>
    <t>Razão Social</t>
  </si>
  <si>
    <t>CNPJ</t>
  </si>
  <si>
    <t>AM000546/2021</t>
  </si>
  <si>
    <t>EIRUNEPÉ</t>
  </si>
  <si>
    <t>GM CONSERVAÇÃO E LIMPEZA EIRELI</t>
  </si>
  <si>
    <t>17.764.351/0001-71</t>
  </si>
  <si>
    <t>GM CONSERVADORA</t>
  </si>
  <si>
    <t>23443.018810/2020-61</t>
  </si>
  <si>
    <t>SIMPLES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</si>
</sst>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R$&quot;\ #,##0.00;[Red]\-&quot;R$&quot;\ #,##0.00"/>
    <numFmt numFmtId="44" formatCode="_-&quot;R$&quot;\ * #,##0.00_-;\-&quot;R$&quot;\ * #,##0.00_-;_-&quot;R$&quot;\ * &quot;-&quot;??_-;_-@_-"/>
    <numFmt numFmtId="43" formatCode="_-* #,##0.00_-;\-* #,##0.00_-;_-* &quot;-&quot;??_-;_-@_-"/>
    <numFmt numFmtId="164" formatCode="_-&quot;R$&quot;* #,##0.00_-;\-&quot;R$&quot;* #,##0.00_-;_-&quot;R$&quot;* &quot;-&quot;??_-;_-@_-"/>
    <numFmt numFmtId="165" formatCode="_-[$R$-416]\ * #,##0.00_-;\-[$R$-416]\ * #,##0.00_-;_-[$R$-416]\ * &quot;-&quot;??_-;_-@_-"/>
    <numFmt numFmtId="166" formatCode="0.000000000"/>
    <numFmt numFmtId="167" formatCode="0.0000"/>
    <numFmt numFmtId="168" formatCode="0.0000000"/>
    <numFmt numFmtId="169" formatCode="_-&quot;R$&quot;\ * #,##0.00_-;\-&quot;R$&quot;\ * #,##0.00_-;_-&quot;R$&quot;\ * &quot;-&quot;?????????_-;_-@_-"/>
    <numFmt numFmtId="170" formatCode="[h]:mm:ss;@"/>
    <numFmt numFmtId="171" formatCode="0.000"/>
    <numFmt numFmtId="172" formatCode="0.00000"/>
    <numFmt numFmtId="173" formatCode="0.0000%"/>
    <numFmt numFmtId="174" formatCode="0.000%"/>
    <numFmt numFmtId="175" formatCode="[$-F400]h:mm:ss\ AM/PM"/>
  </numFmts>
  <fonts count="57">
    <font>
      <sz val="11"/>
      <color theme="1"/>
      <name val="Calibri"/>
      <family val="2"/>
      <scheme val="minor"/>
    </font>
    <font>
      <sz val="11"/>
      <color theme="1"/>
      <name val="Calibri"/>
      <family val="2"/>
      <scheme val="minor"/>
    </font>
    <font>
      <u/>
      <sz val="11"/>
      <color theme="10"/>
      <name val="Calibri"/>
      <family val="2"/>
      <scheme val="minor"/>
    </font>
    <font>
      <sz val="12"/>
      <color rgb="FF000000"/>
      <name val="Arial Narrow"/>
      <family val="2"/>
    </font>
    <font>
      <b/>
      <sz val="12"/>
      <color rgb="FF000000"/>
      <name val="Arial Narrow"/>
      <family val="2"/>
    </font>
    <font>
      <b/>
      <sz val="12"/>
      <color theme="1"/>
      <name val="Arial Narrow"/>
      <family val="2"/>
    </font>
    <font>
      <sz val="12"/>
      <color theme="1"/>
      <name val="Arial Narrow"/>
      <family val="2"/>
    </font>
    <font>
      <sz val="9"/>
      <color indexed="81"/>
      <name val="Segoe UI"/>
      <family val="2"/>
    </font>
    <font>
      <b/>
      <sz val="9"/>
      <color indexed="81"/>
      <name val="Segoe UI"/>
      <family val="2"/>
    </font>
    <font>
      <u/>
      <sz val="12"/>
      <color theme="10"/>
      <name val="Arial Narrow"/>
      <family val="2"/>
    </font>
    <font>
      <u/>
      <sz val="12"/>
      <color rgb="FF000000"/>
      <name val="Arial Narrow"/>
      <family val="2"/>
    </font>
    <font>
      <sz val="11"/>
      <color theme="0"/>
      <name val="Calibri"/>
      <family val="2"/>
      <scheme val="minor"/>
    </font>
    <font>
      <sz val="11"/>
      <color theme="1"/>
      <name val="Arial"/>
      <family val="2"/>
    </font>
    <font>
      <b/>
      <sz val="11"/>
      <color rgb="FFFA7D00"/>
      <name val="Calibri"/>
      <family val="2"/>
      <scheme val="minor"/>
    </font>
    <font>
      <sz val="11"/>
      <color rgb="FF9C6500"/>
      <name val="Calibri"/>
      <family val="2"/>
      <scheme val="minor"/>
    </font>
    <font>
      <sz val="11"/>
      <color theme="1"/>
      <name val="Cordel"/>
    </font>
    <font>
      <b/>
      <sz val="11"/>
      <color theme="1"/>
      <name val="CorDEL"/>
    </font>
    <font>
      <sz val="10"/>
      <color rgb="FF000000"/>
      <name val="Cordel"/>
    </font>
    <font>
      <sz val="10"/>
      <color theme="1"/>
      <name val="Cordel"/>
    </font>
    <font>
      <b/>
      <sz val="10"/>
      <color rgb="FF000000"/>
      <name val="Cordel"/>
    </font>
    <font>
      <b/>
      <sz val="10"/>
      <name val="Cordel"/>
    </font>
    <font>
      <b/>
      <sz val="10"/>
      <color theme="0"/>
      <name val="Cordel"/>
    </font>
    <font>
      <sz val="10"/>
      <name val="Cordel"/>
    </font>
    <font>
      <b/>
      <sz val="10"/>
      <color theme="1"/>
      <name val="Cordel"/>
    </font>
    <font>
      <sz val="12"/>
      <color theme="1"/>
      <name val="Cordel"/>
    </font>
    <font>
      <b/>
      <sz val="12"/>
      <color theme="1"/>
      <name val="Cordel"/>
    </font>
    <font>
      <b/>
      <sz val="10"/>
      <color rgb="FF0070C0"/>
      <name val="Cordel"/>
    </font>
    <font>
      <b/>
      <sz val="10"/>
      <color rgb="FFFF0000"/>
      <name val="Cordel"/>
    </font>
    <font>
      <sz val="10"/>
      <color theme="0"/>
      <name val="Cordel"/>
    </font>
    <font>
      <sz val="12"/>
      <color rgb="FF000000"/>
      <name val="Cordel"/>
    </font>
    <font>
      <b/>
      <sz val="12"/>
      <color rgb="FF000000"/>
      <name val="Cordel"/>
    </font>
    <font>
      <b/>
      <sz val="12"/>
      <name val="Cordel"/>
    </font>
    <font>
      <b/>
      <sz val="12"/>
      <color theme="0"/>
      <name val="Cordel"/>
    </font>
    <font>
      <sz val="12"/>
      <name val="Cordel"/>
    </font>
    <font>
      <sz val="10"/>
      <color theme="1"/>
      <name val="Times New Roman"/>
      <family val="1"/>
    </font>
    <font>
      <b/>
      <sz val="10"/>
      <name val="Times New Roman"/>
      <family val="1"/>
    </font>
    <font>
      <sz val="10"/>
      <name val="Times New Roman"/>
      <family val="1"/>
    </font>
    <font>
      <b/>
      <sz val="10"/>
      <color theme="0"/>
      <name val="Times New Roman"/>
      <family val="1"/>
    </font>
    <font>
      <sz val="11"/>
      <color theme="1"/>
      <name val="Times New Roman"/>
      <family val="1"/>
    </font>
    <font>
      <b/>
      <sz val="11"/>
      <color theme="0"/>
      <name val="Times New Roman"/>
      <family val="1"/>
    </font>
    <font>
      <b/>
      <sz val="15"/>
      <color theme="0"/>
      <name val="Times New Roman"/>
      <family val="1"/>
    </font>
    <font>
      <sz val="10"/>
      <color theme="0"/>
      <name val="Times New Roman"/>
      <family val="1"/>
    </font>
    <font>
      <b/>
      <sz val="10"/>
      <color theme="1"/>
      <name val="Times New Roman"/>
      <family val="1"/>
    </font>
    <font>
      <vertAlign val="superscript"/>
      <sz val="10"/>
      <color theme="0"/>
      <name val="Times New Roman"/>
      <family val="1"/>
    </font>
    <font>
      <b/>
      <vertAlign val="superscript"/>
      <sz val="10"/>
      <color theme="0"/>
      <name val="Times New Roman"/>
      <family val="1"/>
    </font>
    <font>
      <b/>
      <sz val="11"/>
      <color theme="1"/>
      <name val="Times New Roman"/>
      <family val="1"/>
    </font>
    <font>
      <b/>
      <sz val="11"/>
      <name val="Times New Roman"/>
      <family val="1"/>
    </font>
    <font>
      <sz val="11"/>
      <name val="Times New Roman"/>
      <family val="1"/>
    </font>
    <font>
      <sz val="11"/>
      <name val="Cordel"/>
    </font>
    <font>
      <sz val="11"/>
      <color rgb="FFFF0000"/>
      <name val="Cordel"/>
    </font>
    <font>
      <sz val="11"/>
      <name val="Calibri"/>
      <family val="2"/>
      <scheme val="minor"/>
    </font>
    <font>
      <sz val="11"/>
      <color theme="0"/>
      <name val="Times New Roman"/>
      <family val="1"/>
    </font>
    <font>
      <b/>
      <sz val="12"/>
      <color rgb="FFFF0000"/>
      <name val="Times New Roman"/>
      <family val="1"/>
    </font>
    <font>
      <sz val="12"/>
      <color theme="0"/>
      <name val="Times New Roman"/>
      <family val="1"/>
    </font>
    <font>
      <sz val="12"/>
      <name val="Times New Roman"/>
      <family val="1"/>
    </font>
    <font>
      <sz val="12"/>
      <color theme="1"/>
      <name val="Times New Roman"/>
      <family val="1"/>
    </font>
    <font>
      <sz val="11"/>
      <color theme="1"/>
      <name val="Times New Roman"/>
    </font>
  </fonts>
  <fills count="1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2F2F2"/>
      </patternFill>
    </fill>
    <fill>
      <patternFill patternType="solid">
        <fgColor theme="4"/>
      </patternFill>
    </fill>
    <fill>
      <patternFill patternType="solid">
        <fgColor rgb="FFFFEB9C"/>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rgb="FFFFC000"/>
        <bgColor indexed="64"/>
      </patternFill>
    </fill>
    <fill>
      <patternFill patternType="solid">
        <fgColor theme="9" tint="0.79998168889431442"/>
        <bgColor indexed="65"/>
      </patternFill>
    </fill>
    <fill>
      <patternFill patternType="solid">
        <fgColor theme="9" tint="-0.499984740745262"/>
        <bgColor indexed="64"/>
      </patternFill>
    </fill>
    <fill>
      <patternFill patternType="solid">
        <fgColor theme="9" tint="0.59999389629810485"/>
        <bgColor theme="5" tint="0.79998168889431442"/>
      </patternFill>
    </fill>
    <fill>
      <patternFill patternType="solid">
        <fgColor theme="8"/>
        <bgColor indexed="64"/>
      </patternFill>
    </fill>
    <fill>
      <patternFill patternType="solid">
        <fgColor theme="9"/>
        <bgColor indexed="64"/>
      </patternFill>
    </fill>
    <fill>
      <patternFill patternType="solid">
        <fgColor theme="8" tint="0.59999389629810485"/>
        <bgColor theme="5" tint="0.79998168889431442"/>
      </patternFill>
    </fill>
  </fills>
  <borders count="30">
    <border>
      <left/>
      <right/>
      <top/>
      <bottom/>
      <diagonal/>
    </border>
    <border>
      <left style="thin">
        <color rgb="FF7F7F7F"/>
      </left>
      <right style="thin">
        <color rgb="FF7F7F7F"/>
      </right>
      <top style="thin">
        <color rgb="FF7F7F7F"/>
      </top>
      <bottom style="thin">
        <color rgb="FF7F7F7F"/>
      </bottom>
      <diagonal/>
    </border>
    <border>
      <left/>
      <right/>
      <top style="thin">
        <color theme="5" tint="0.39997558519241921"/>
      </top>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5"/>
      </left>
      <right style="thin">
        <color theme="5"/>
      </right>
      <top style="thin">
        <color theme="5"/>
      </top>
      <bottom style="thin">
        <color theme="5"/>
      </bottom>
      <diagonal/>
    </border>
    <border>
      <left style="thin">
        <color theme="5"/>
      </left>
      <right style="thin">
        <color theme="5"/>
      </right>
      <top style="thin">
        <color theme="5"/>
      </top>
      <bottom style="double">
        <color theme="5"/>
      </bottom>
      <diagonal/>
    </border>
    <border>
      <left style="thin">
        <color theme="5"/>
      </left>
      <right style="thin">
        <color theme="5"/>
      </right>
      <top style="thin">
        <color theme="5"/>
      </top>
      <bottom/>
      <diagonal/>
    </border>
    <border>
      <left style="thin">
        <color theme="5"/>
      </left>
      <right style="thin">
        <color theme="5"/>
      </right>
      <top/>
      <bottom style="thin">
        <color theme="5"/>
      </bottom>
      <diagonal/>
    </border>
    <border>
      <left style="thin">
        <color theme="5"/>
      </left>
      <right style="thin">
        <color theme="5"/>
      </right>
      <top/>
      <bottom style="double">
        <color theme="5"/>
      </bottom>
      <diagonal/>
    </border>
    <border>
      <left style="thin">
        <color theme="0"/>
      </left>
      <right style="thin">
        <color theme="0"/>
      </right>
      <top/>
      <bottom style="thin">
        <color theme="0"/>
      </bottom>
      <diagonal/>
    </border>
    <border>
      <left style="thin">
        <color theme="5"/>
      </left>
      <right/>
      <top style="thin">
        <color theme="5"/>
      </top>
      <bottom style="double">
        <color theme="5"/>
      </bottom>
      <diagonal/>
    </border>
    <border>
      <left/>
      <right/>
      <top style="thin">
        <color theme="5"/>
      </top>
      <bottom style="double">
        <color theme="5"/>
      </bottom>
      <diagonal/>
    </border>
    <border>
      <left/>
      <right style="thin">
        <color theme="5"/>
      </right>
      <top style="thin">
        <color theme="5"/>
      </top>
      <bottom style="double">
        <color theme="5"/>
      </bottom>
      <diagonal/>
    </border>
    <border>
      <left style="thin">
        <color theme="5"/>
      </left>
      <right style="thin">
        <color theme="5"/>
      </right>
      <top/>
      <bottom/>
      <diagonal/>
    </border>
    <border>
      <left style="thin">
        <color theme="5"/>
      </left>
      <right style="thin">
        <color theme="5"/>
      </right>
      <top style="double">
        <color theme="5"/>
      </top>
      <bottom/>
      <diagonal/>
    </border>
    <border>
      <left style="thin">
        <color theme="9"/>
      </left>
      <right/>
      <top style="thin">
        <color theme="9"/>
      </top>
      <bottom style="double">
        <color theme="9"/>
      </bottom>
      <diagonal/>
    </border>
    <border>
      <left/>
      <right/>
      <top style="thin">
        <color theme="9"/>
      </top>
      <bottom style="double">
        <color theme="9"/>
      </bottom>
      <diagonal/>
    </border>
    <border>
      <left/>
      <right style="thin">
        <color theme="9"/>
      </right>
      <top style="thin">
        <color theme="9"/>
      </top>
      <bottom style="double">
        <color theme="9"/>
      </bottom>
      <diagonal/>
    </border>
    <border>
      <left style="thin">
        <color theme="0"/>
      </left>
      <right style="thin">
        <color theme="0"/>
      </right>
      <top/>
      <bottom/>
      <diagonal/>
    </border>
    <border>
      <left/>
      <right/>
      <top/>
      <bottom style="medium">
        <color rgb="FFC2D69B"/>
      </bottom>
      <diagonal/>
    </border>
    <border>
      <left style="thin">
        <color theme="9"/>
      </left>
      <right/>
      <top style="thin">
        <color theme="9"/>
      </top>
      <bottom/>
      <diagonal/>
    </border>
    <border>
      <left/>
      <right style="thin">
        <color theme="9"/>
      </right>
      <top style="thin">
        <color theme="9"/>
      </top>
      <bottom/>
      <diagonal/>
    </border>
    <border>
      <left/>
      <right/>
      <top style="thin">
        <color theme="9"/>
      </top>
      <bottom/>
      <diagonal/>
    </border>
    <border>
      <left style="thin">
        <color theme="9"/>
      </left>
      <right/>
      <top/>
      <bottom/>
      <diagonal/>
    </border>
    <border>
      <left/>
      <right style="thin">
        <color theme="9"/>
      </right>
      <top/>
      <bottom/>
      <diagonal/>
    </border>
    <border>
      <left style="thin">
        <color theme="9"/>
      </left>
      <right/>
      <top/>
      <bottom style="thin">
        <color theme="9"/>
      </bottom>
      <diagonal/>
    </border>
    <border>
      <left/>
      <right style="thin">
        <color theme="9"/>
      </right>
      <top/>
      <bottom style="thin">
        <color theme="9"/>
      </bottom>
      <diagonal/>
    </border>
    <border>
      <left/>
      <right/>
      <top/>
      <bottom style="thin">
        <color theme="9"/>
      </bottom>
      <diagonal/>
    </border>
  </borders>
  <cellStyleXfs count="14">
    <xf numFmtId="0" fontId="0" fillId="0" borderId="0"/>
    <xf numFmtId="0" fontId="1" fillId="0" borderId="0"/>
    <xf numFmtId="0" fontId="2" fillId="0" borderId="0" applyNumberFormat="0" applyFill="0" applyBorder="0" applyAlignment="0" applyProtection="0"/>
    <xf numFmtId="0" fontId="1"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2" fillId="0" borderId="0"/>
    <xf numFmtId="0" fontId="13" fillId="4" borderId="1" applyNumberFormat="0" applyAlignment="0" applyProtection="0"/>
    <xf numFmtId="0" fontId="11" fillId="5" borderId="0" applyNumberFormat="0" applyBorder="0" applyAlignment="0" applyProtection="0"/>
    <xf numFmtId="0" fontId="14" fillId="6" borderId="0" applyNumberFormat="0" applyBorder="0" applyAlignment="0" applyProtection="0"/>
    <xf numFmtId="0" fontId="1" fillId="12" borderId="0" applyNumberFormat="0" applyBorder="0" applyAlignment="0" applyProtection="0"/>
  </cellStyleXfs>
  <cellXfs count="501">
    <xf numFmtId="0" fontId="0" fillId="0" borderId="0" xfId="0"/>
    <xf numFmtId="0" fontId="0" fillId="0" borderId="0" xfId="0" applyBorder="1"/>
    <xf numFmtId="2" fontId="0" fillId="0" borderId="0" xfId="0" applyNumberFormat="1" applyBorder="1"/>
    <xf numFmtId="46" fontId="0" fillId="0" borderId="0" xfId="0" applyNumberFormat="1" applyBorder="1"/>
    <xf numFmtId="0" fontId="5" fillId="2" borderId="0" xfId="0" applyFont="1" applyFill="1" applyBorder="1" applyAlignment="1">
      <alignment vertical="center" wrapText="1"/>
    </xf>
    <xf numFmtId="0" fontId="6" fillId="2" borderId="0" xfId="0" applyFont="1" applyFill="1" applyBorder="1"/>
    <xf numFmtId="0" fontId="6" fillId="2" borderId="0" xfId="0" applyFont="1" applyFill="1" applyBorder="1" applyAlignment="1">
      <alignment vertical="center" wrapText="1"/>
    </xf>
    <xf numFmtId="0" fontId="9" fillId="2" borderId="0" xfId="2" applyFont="1" applyFill="1" applyBorder="1" applyAlignment="1">
      <alignment vertical="center" wrapText="1"/>
    </xf>
    <xf numFmtId="0" fontId="4" fillId="2" borderId="0" xfId="0" applyFont="1" applyFill="1" applyBorder="1" applyAlignment="1">
      <alignment wrapText="1"/>
    </xf>
    <xf numFmtId="0" fontId="4" fillId="2" borderId="0" xfId="0" applyFont="1" applyFill="1" applyBorder="1" applyAlignment="1">
      <alignment vertical="center" wrapText="1"/>
    </xf>
    <xf numFmtId="0" fontId="4" fillId="2" borderId="0" xfId="0" applyFont="1" applyFill="1" applyBorder="1"/>
    <xf numFmtId="0" fontId="3" fillId="2" borderId="0" xfId="0" applyFont="1" applyFill="1" applyBorder="1" applyAlignment="1">
      <alignment vertical="center" wrapText="1"/>
    </xf>
    <xf numFmtId="0" fontId="6" fillId="2" borderId="0" xfId="0" applyFont="1" applyFill="1" applyBorder="1" applyAlignment="1">
      <alignment wrapText="1"/>
    </xf>
    <xf numFmtId="0" fontId="0" fillId="0" borderId="3" xfId="0" applyBorder="1"/>
    <xf numFmtId="170" fontId="0" fillId="0" borderId="3" xfId="0" applyNumberFormat="1" applyBorder="1"/>
    <xf numFmtId="0" fontId="0" fillId="0" borderId="4" xfId="0" pivotButton="1" applyBorder="1"/>
    <xf numFmtId="0" fontId="0" fillId="0" borderId="4" xfId="0" applyBorder="1" applyAlignment="1">
      <alignment horizontal="left"/>
    </xf>
    <xf numFmtId="0" fontId="0" fillId="0" borderId="4" xfId="0" applyBorder="1" applyAlignment="1">
      <alignment horizontal="left" indent="1"/>
    </xf>
    <xf numFmtId="170" fontId="0" fillId="0" borderId="4" xfId="0" applyNumberFormat="1" applyBorder="1"/>
    <xf numFmtId="0" fontId="0" fillId="0" borderId="4" xfId="0" applyBorder="1"/>
    <xf numFmtId="0" fontId="0" fillId="0" borderId="0" xfId="0" applyAlignment="1">
      <alignment horizontal="center" vertical="center" wrapText="1"/>
    </xf>
    <xf numFmtId="44" fontId="0" fillId="0" borderId="0" xfId="7" applyFont="1"/>
    <xf numFmtId="0" fontId="0" fillId="2" borderId="0" xfId="0" applyFill="1"/>
    <xf numFmtId="14" fontId="0" fillId="0" borderId="0" xfId="0" applyNumberFormat="1" applyAlignment="1">
      <alignment horizontal="center" vertical="center" wrapText="1"/>
    </xf>
    <xf numFmtId="0" fontId="18" fillId="2" borderId="0" xfId="0" applyFont="1" applyFill="1" applyBorder="1" applyAlignment="1">
      <alignment horizontal="center" vertical="center"/>
    </xf>
    <xf numFmtId="0" fontId="17" fillId="2" borderId="0" xfId="0" applyFont="1" applyFill="1" applyBorder="1" applyAlignment="1">
      <alignment horizontal="center" vertical="center" wrapText="1"/>
    </xf>
    <xf numFmtId="0" fontId="22" fillId="2" borderId="0" xfId="0" applyFont="1" applyFill="1" applyBorder="1" applyAlignment="1">
      <alignment horizontal="center" vertical="center"/>
    </xf>
    <xf numFmtId="0" fontId="15" fillId="0" borderId="0" xfId="0" applyFont="1" applyAlignment="1">
      <alignment horizontal="center" vertical="center" wrapText="1"/>
    </xf>
    <xf numFmtId="0" fontId="15" fillId="0" borderId="6" xfId="0" applyFont="1" applyBorder="1" applyAlignment="1">
      <alignment horizontal="center" vertical="center" wrapText="1"/>
    </xf>
    <xf numFmtId="44" fontId="15" fillId="0" borderId="0" xfId="7" applyFont="1" applyAlignment="1">
      <alignment horizontal="center" vertical="center" wrapText="1"/>
    </xf>
    <xf numFmtId="0" fontId="15" fillId="2" borderId="0" xfId="0" applyFont="1" applyFill="1"/>
    <xf numFmtId="0" fontId="15" fillId="0" borderId="0" xfId="0" applyFont="1" applyAlignment="1">
      <alignment horizontal="center" vertical="center"/>
    </xf>
    <xf numFmtId="0" fontId="16" fillId="0" borderId="0" xfId="0" applyFont="1"/>
    <xf numFmtId="0" fontId="15" fillId="0" borderId="0" xfId="0" applyFont="1"/>
    <xf numFmtId="0" fontId="18" fillId="2" borderId="0" xfId="0" applyFont="1" applyFill="1" applyBorder="1"/>
    <xf numFmtId="0" fontId="22" fillId="0" borderId="0" xfId="0" applyFont="1" applyAlignment="1">
      <alignment horizontal="center" vertical="center"/>
    </xf>
    <xf numFmtId="0" fontId="18" fillId="0" borderId="0" xfId="0" applyFont="1" applyAlignment="1">
      <alignment horizontal="center" vertical="center" wrapText="1"/>
    </xf>
    <xf numFmtId="0" fontId="22" fillId="0" borderId="0" xfId="0" applyFont="1" applyAlignment="1">
      <alignment horizontal="center" vertical="center" wrapText="1"/>
    </xf>
    <xf numFmtId="44" fontId="22" fillId="0" borderId="0" xfId="7" applyFont="1" applyAlignment="1">
      <alignment horizontal="center" vertical="center"/>
    </xf>
    <xf numFmtId="44" fontId="18" fillId="0" borderId="0" xfId="7" applyFont="1" applyAlignment="1">
      <alignment horizontal="center" vertical="center" wrapText="1"/>
    </xf>
    <xf numFmtId="10" fontId="22" fillId="0" borderId="0" xfId="8" applyNumberFormat="1" applyFont="1" applyAlignment="1">
      <alignment horizontal="center" vertical="center"/>
    </xf>
    <xf numFmtId="0" fontId="18" fillId="0" borderId="0" xfId="0" applyFont="1" applyAlignment="1">
      <alignment horizontal="center" vertical="center"/>
    </xf>
    <xf numFmtId="0" fontId="18" fillId="0" borderId="0" xfId="0" applyFont="1"/>
    <xf numFmtId="10" fontId="18" fillId="0" borderId="0" xfId="8" applyNumberFormat="1" applyFont="1"/>
    <xf numFmtId="0" fontId="18" fillId="0" borderId="6" xfId="0" applyFont="1" applyBorder="1"/>
    <xf numFmtId="0" fontId="18" fillId="0" borderId="0" xfId="0" applyFont="1" applyBorder="1" applyAlignment="1">
      <alignment horizontal="center" vertical="center"/>
    </xf>
    <xf numFmtId="165" fontId="15" fillId="0" borderId="0" xfId="0" applyNumberFormat="1" applyFont="1"/>
    <xf numFmtId="164" fontId="18" fillId="0" borderId="0" xfId="0" applyNumberFormat="1" applyFont="1" applyBorder="1" applyAlignment="1">
      <alignment horizontal="center" vertical="center"/>
    </xf>
    <xf numFmtId="9" fontId="18" fillId="0" borderId="0" xfId="0" applyNumberFormat="1" applyFont="1" applyBorder="1" applyAlignment="1">
      <alignment horizontal="center" vertical="center"/>
    </xf>
    <xf numFmtId="0" fontId="16" fillId="0" borderId="0" xfId="0" applyFont="1" applyAlignment="1">
      <alignment horizontal="center" vertical="center"/>
    </xf>
    <xf numFmtId="44" fontId="16" fillId="0" borderId="0" xfId="7" applyFont="1"/>
    <xf numFmtId="2" fontId="15" fillId="0" borderId="0" xfId="0" applyNumberFormat="1" applyFont="1" applyAlignment="1">
      <alignment horizontal="center" vertical="center" wrapText="1"/>
    </xf>
    <xf numFmtId="0" fontId="18" fillId="0" borderId="0" xfId="0" applyFont="1" applyBorder="1" applyAlignment="1">
      <alignment horizontal="center" vertical="center" wrapText="1"/>
    </xf>
    <xf numFmtId="44" fontId="15" fillId="0" borderId="0" xfId="0" applyNumberFormat="1" applyFont="1" applyAlignment="1">
      <alignment horizontal="center" vertical="center" wrapText="1"/>
    </xf>
    <xf numFmtId="0" fontId="23" fillId="0" borderId="6" xfId="0" applyFont="1" applyBorder="1" applyAlignment="1">
      <alignment horizontal="left" vertical="center"/>
    </xf>
    <xf numFmtId="2" fontId="15" fillId="0" borderId="6" xfId="0" applyNumberFormat="1" applyFont="1" applyBorder="1" applyAlignment="1">
      <alignment horizontal="center" vertical="center" wrapText="1"/>
    </xf>
    <xf numFmtId="44" fontId="15" fillId="0" borderId="6" xfId="7" applyFont="1" applyBorder="1" applyAlignment="1">
      <alignment horizontal="center" vertical="center" wrapText="1"/>
    </xf>
    <xf numFmtId="2" fontId="15" fillId="0" borderId="6" xfId="7" applyNumberFormat="1" applyFont="1" applyBorder="1" applyAlignment="1">
      <alignment horizontal="center" vertical="center" wrapText="1"/>
    </xf>
    <xf numFmtId="0" fontId="23" fillId="0" borderId="7" xfId="0" applyFont="1" applyBorder="1" applyAlignment="1">
      <alignment horizontal="left" vertical="center"/>
    </xf>
    <xf numFmtId="0" fontId="15" fillId="0" borderId="7" xfId="0" applyFont="1" applyBorder="1" applyAlignment="1">
      <alignment horizontal="center" vertical="center" wrapText="1"/>
    </xf>
    <xf numFmtId="2" fontId="15" fillId="0" borderId="7" xfId="0" applyNumberFormat="1" applyFont="1" applyBorder="1" applyAlignment="1">
      <alignment horizontal="center" vertical="center" wrapText="1"/>
    </xf>
    <xf numFmtId="44" fontId="15" fillId="0" borderId="7" xfId="7" applyFont="1" applyBorder="1" applyAlignment="1">
      <alignment horizontal="center" vertical="center" wrapText="1"/>
    </xf>
    <xf numFmtId="44" fontId="16" fillId="0" borderId="7" xfId="7" applyFont="1" applyBorder="1" applyAlignment="1">
      <alignment horizontal="center" vertical="center" wrapText="1"/>
    </xf>
    <xf numFmtId="0" fontId="26" fillId="2" borderId="0" xfId="0" applyFont="1" applyFill="1" applyBorder="1" applyAlignment="1">
      <alignment horizontal="center" vertical="center" wrapText="1"/>
    </xf>
    <xf numFmtId="0" fontId="27" fillId="0" borderId="0" xfId="0" applyFont="1" applyBorder="1"/>
    <xf numFmtId="0" fontId="15" fillId="0" borderId="9" xfId="0" applyFont="1" applyBorder="1" applyAlignment="1">
      <alignment horizontal="center" vertical="center"/>
    </xf>
    <xf numFmtId="0" fontId="15" fillId="0" borderId="9" xfId="0" applyFont="1" applyBorder="1" applyAlignment="1">
      <alignment horizontal="center" vertical="center" wrapText="1"/>
    </xf>
    <xf numFmtId="44" fontId="15" fillId="0" borderId="0" xfId="7" applyFont="1" applyAlignment="1">
      <alignment horizontal="center" vertical="center"/>
    </xf>
    <xf numFmtId="9" fontId="15" fillId="0" borderId="0" xfId="8" applyFont="1" applyAlignment="1">
      <alignment horizontal="center" vertical="center"/>
    </xf>
    <xf numFmtId="0" fontId="18" fillId="0" borderId="6" xfId="0" applyFont="1" applyBorder="1" applyAlignment="1">
      <alignment horizontal="center" vertical="center"/>
    </xf>
    <xf numFmtId="0" fontId="15" fillId="0" borderId="6" xfId="0" applyFont="1" applyBorder="1" applyAlignment="1">
      <alignment horizontal="center" vertical="center"/>
    </xf>
    <xf numFmtId="2" fontId="15" fillId="0" borderId="6" xfId="0" applyNumberFormat="1" applyFont="1" applyBorder="1" applyAlignment="1">
      <alignment horizontal="center" vertical="center"/>
    </xf>
    <xf numFmtId="0" fontId="18" fillId="0" borderId="7" xfId="0" applyFont="1" applyBorder="1" applyAlignment="1">
      <alignment horizontal="center" vertical="center"/>
    </xf>
    <xf numFmtId="0" fontId="15" fillId="0" borderId="7" xfId="0" applyFont="1" applyBorder="1" applyAlignment="1">
      <alignment horizontal="center" vertical="center"/>
    </xf>
    <xf numFmtId="44" fontId="15" fillId="0" borderId="0" xfId="7" applyFont="1"/>
    <xf numFmtId="10" fontId="18" fillId="0" borderId="0" xfId="0" applyNumberFormat="1" applyFont="1" applyAlignment="1">
      <alignment horizontal="center" vertical="center"/>
    </xf>
    <xf numFmtId="44" fontId="18" fillId="0" borderId="0" xfId="0" applyNumberFormat="1" applyFont="1" applyAlignment="1">
      <alignment horizontal="center" vertical="center"/>
    </xf>
    <xf numFmtId="0" fontId="18" fillId="0" borderId="0" xfId="0" applyFont="1" applyBorder="1"/>
    <xf numFmtId="10" fontId="18" fillId="0" borderId="0" xfId="8" applyNumberFormat="1" applyFont="1" applyAlignment="1">
      <alignment horizontal="center" vertical="center"/>
    </xf>
    <xf numFmtId="44" fontId="18" fillId="0" borderId="0" xfId="7" applyFont="1" applyAlignment="1">
      <alignment horizontal="center" vertical="center"/>
    </xf>
    <xf numFmtId="10" fontId="18" fillId="11" borderId="0" xfId="8" applyNumberFormat="1" applyFont="1" applyFill="1" applyAlignment="1">
      <alignment horizontal="center" vertical="center"/>
    </xf>
    <xf numFmtId="10" fontId="18" fillId="10" borderId="0" xfId="8" applyNumberFormat="1" applyFont="1" applyFill="1" applyAlignment="1">
      <alignment horizontal="center" vertical="center"/>
    </xf>
    <xf numFmtId="0" fontId="18" fillId="11" borderId="0" xfId="0" applyFont="1" applyFill="1" applyBorder="1" applyAlignment="1">
      <alignment horizontal="center" vertical="center" wrapText="1"/>
    </xf>
    <xf numFmtId="44" fontId="18" fillId="0" borderId="0" xfId="7" applyFont="1" applyBorder="1" applyAlignment="1">
      <alignment horizontal="center" vertical="center"/>
    </xf>
    <xf numFmtId="0" fontId="18" fillId="10" borderId="0" xfId="0" applyFont="1" applyFill="1" applyBorder="1" applyAlignment="1">
      <alignment horizontal="center" vertical="center" wrapText="1"/>
    </xf>
    <xf numFmtId="0" fontId="18" fillId="2" borderId="0" xfId="0" applyFont="1" applyFill="1" applyBorder="1" applyAlignment="1">
      <alignment vertical="center"/>
    </xf>
    <xf numFmtId="9" fontId="15" fillId="0" borderId="0" xfId="8" applyFont="1"/>
    <xf numFmtId="9" fontId="15" fillId="2" borderId="0" xfId="8" applyFont="1" applyFill="1" applyBorder="1"/>
    <xf numFmtId="173" fontId="22" fillId="0" borderId="0" xfId="8" applyNumberFormat="1" applyFont="1" applyAlignment="1">
      <alignment horizontal="center" vertical="center"/>
    </xf>
    <xf numFmtId="10" fontId="22" fillId="10" borderId="0" xfId="0" applyNumberFormat="1" applyFont="1" applyFill="1" applyAlignment="1">
      <alignment horizontal="center" vertical="center"/>
    </xf>
    <xf numFmtId="9" fontId="22" fillId="0" borderId="0" xfId="0" applyNumberFormat="1" applyFont="1" applyAlignment="1">
      <alignment horizontal="center" vertical="center"/>
    </xf>
    <xf numFmtId="10" fontId="22" fillId="0" borderId="0" xfId="0" applyNumberFormat="1" applyFont="1" applyAlignment="1">
      <alignment horizontal="center" vertical="center"/>
    </xf>
    <xf numFmtId="44" fontId="18" fillId="0" borderId="0" xfId="0" applyNumberFormat="1" applyFont="1"/>
    <xf numFmtId="44" fontId="18" fillId="0" borderId="0" xfId="7" applyFont="1"/>
    <xf numFmtId="10" fontId="18" fillId="10" borderId="0" xfId="8" applyNumberFormat="1" applyFont="1" applyFill="1"/>
    <xf numFmtId="44" fontId="18" fillId="2" borderId="0" xfId="7" applyNumberFormat="1" applyFont="1" applyFill="1" applyBorder="1" applyAlignment="1">
      <alignment vertical="center"/>
    </xf>
    <xf numFmtId="0" fontId="18" fillId="2" borderId="0" xfId="3" applyFont="1" applyFill="1" applyBorder="1" applyAlignment="1">
      <alignment horizontal="left" vertical="top"/>
    </xf>
    <xf numFmtId="0" fontId="18" fillId="2" borderId="0" xfId="3" applyFont="1" applyFill="1" applyBorder="1"/>
    <xf numFmtId="0" fontId="22" fillId="2" borderId="0" xfId="3" applyFont="1" applyFill="1" applyBorder="1" applyAlignment="1">
      <alignment horizontal="left" vertical="top"/>
    </xf>
    <xf numFmtId="0" fontId="22" fillId="2" borderId="0" xfId="3" applyFont="1" applyFill="1" applyBorder="1"/>
    <xf numFmtId="0" fontId="17" fillId="2" borderId="0" xfId="3" applyFont="1" applyFill="1" applyBorder="1" applyAlignment="1">
      <alignment horizontal="left" vertical="top"/>
    </xf>
    <xf numFmtId="44" fontId="17" fillId="2" borderId="0" xfId="3" applyNumberFormat="1" applyFont="1" applyFill="1" applyBorder="1" applyAlignment="1">
      <alignment horizontal="left" vertical="top"/>
    </xf>
    <xf numFmtId="2" fontId="18" fillId="2" borderId="0" xfId="3" applyNumberFormat="1" applyFont="1" applyFill="1" applyBorder="1" applyAlignment="1">
      <alignment horizontal="left" vertical="top"/>
    </xf>
    <xf numFmtId="0" fontId="20" fillId="2" borderId="0" xfId="1" applyFont="1" applyFill="1" applyBorder="1" applyAlignment="1">
      <alignment horizontal="center" vertical="center"/>
    </xf>
    <xf numFmtId="0" fontId="22" fillId="2" borderId="0" xfId="1" applyFont="1" applyFill="1" applyBorder="1" applyAlignment="1">
      <alignment horizontal="center" vertical="center"/>
    </xf>
    <xf numFmtId="44" fontId="22" fillId="2" borderId="0" xfId="7" applyFont="1" applyFill="1" applyBorder="1" applyAlignment="1" applyProtection="1">
      <alignment horizontal="center" vertical="center"/>
    </xf>
    <xf numFmtId="9" fontId="22" fillId="2" borderId="0" xfId="5" applyNumberFormat="1" applyFont="1" applyFill="1" applyBorder="1" applyAlignment="1" applyProtection="1">
      <alignment horizontal="center" vertical="center"/>
    </xf>
    <xf numFmtId="44" fontId="22" fillId="2" borderId="0" xfId="7" applyFont="1" applyFill="1" applyBorder="1" applyAlignment="1">
      <alignment horizontal="center" vertical="center"/>
    </xf>
    <xf numFmtId="0" fontId="20" fillId="2" borderId="0" xfId="3" applyFont="1" applyFill="1" applyBorder="1" applyAlignment="1">
      <alignment horizontal="left" vertical="top" wrapText="1"/>
    </xf>
    <xf numFmtId="4" fontId="20" fillId="2" borderId="0" xfId="3" applyNumberFormat="1" applyFont="1" applyFill="1" applyBorder="1" applyAlignment="1">
      <alignment horizontal="right" vertical="top" wrapText="1"/>
    </xf>
    <xf numFmtId="10" fontId="22" fillId="2" borderId="0" xfId="1" applyNumberFormat="1" applyFont="1" applyFill="1" applyBorder="1" applyAlignment="1">
      <alignment horizontal="center" vertical="center"/>
    </xf>
    <xf numFmtId="9" fontId="22" fillId="2" borderId="0" xfId="1" applyNumberFormat="1" applyFont="1" applyFill="1" applyBorder="1" applyAlignment="1">
      <alignment horizontal="center" vertical="center"/>
    </xf>
    <xf numFmtId="39" fontId="22" fillId="2" borderId="0" xfId="1" applyNumberFormat="1" applyFont="1" applyFill="1" applyBorder="1" applyAlignment="1">
      <alignment horizontal="center" vertical="center"/>
    </xf>
    <xf numFmtId="2" fontId="22" fillId="2" borderId="0" xfId="1" applyNumberFormat="1" applyFont="1" applyFill="1" applyBorder="1" applyAlignment="1">
      <alignment horizontal="center" vertical="center"/>
    </xf>
    <xf numFmtId="0" fontId="22" fillId="2" borderId="0" xfId="3" applyFont="1" applyFill="1" applyBorder="1" applyAlignment="1">
      <alignment horizontal="left" vertical="top" wrapText="1"/>
    </xf>
    <xf numFmtId="4" fontId="17" fillId="2" borderId="0" xfId="3" applyNumberFormat="1" applyFont="1" applyFill="1" applyBorder="1" applyAlignment="1">
      <alignment horizontal="right" vertical="top" wrapText="1"/>
    </xf>
    <xf numFmtId="0" fontId="22" fillId="2" borderId="0" xfId="3" applyFont="1" applyFill="1" applyBorder="1" applyAlignment="1">
      <alignment vertical="top"/>
    </xf>
    <xf numFmtId="0" fontId="22" fillId="2" borderId="0" xfId="3" applyFont="1" applyFill="1" applyBorder="1" applyAlignment="1"/>
    <xf numFmtId="0" fontId="18" fillId="2" borderId="0" xfId="3" applyFont="1" applyFill="1" applyBorder="1" applyAlignment="1">
      <alignment vertical="top"/>
    </xf>
    <xf numFmtId="0" fontId="18" fillId="2" borderId="0" xfId="3" applyFont="1" applyFill="1" applyBorder="1" applyAlignment="1"/>
    <xf numFmtId="4" fontId="19" fillId="2" borderId="0" xfId="3" applyNumberFormat="1" applyFont="1" applyFill="1" applyBorder="1" applyAlignment="1">
      <alignment horizontal="right" vertical="top" wrapText="1"/>
    </xf>
    <xf numFmtId="0" fontId="19" fillId="2" borderId="6" xfId="3" applyFont="1" applyFill="1" applyBorder="1" applyAlignment="1">
      <alignment horizontal="center" vertical="center"/>
    </xf>
    <xf numFmtId="2" fontId="23" fillId="2" borderId="0" xfId="3" applyNumberFormat="1" applyFont="1" applyFill="1" applyBorder="1" applyAlignment="1">
      <alignment horizontal="center" vertical="center"/>
    </xf>
    <xf numFmtId="0" fontId="23" fillId="2" borderId="0" xfId="3" applyFont="1" applyFill="1" applyBorder="1" applyAlignment="1">
      <alignment horizontal="center" vertical="center"/>
    </xf>
    <xf numFmtId="174" fontId="18" fillId="0" borderId="6" xfId="8" applyNumberFormat="1" applyFont="1" applyBorder="1"/>
    <xf numFmtId="44" fontId="18" fillId="0" borderId="6" xfId="7" applyFont="1" applyBorder="1"/>
    <xf numFmtId="0" fontId="18" fillId="0" borderId="7" xfId="0" applyFont="1" applyBorder="1"/>
    <xf numFmtId="174" fontId="18" fillId="0" borderId="7" xfId="8" applyNumberFormat="1" applyFont="1" applyBorder="1"/>
    <xf numFmtId="44" fontId="18" fillId="0" borderId="7" xfId="7" applyFont="1" applyBorder="1"/>
    <xf numFmtId="4" fontId="19" fillId="2" borderId="0" xfId="3" applyNumberFormat="1" applyFont="1" applyFill="1" applyBorder="1" applyAlignment="1">
      <alignment horizontal="center" vertical="center" wrapText="1"/>
    </xf>
    <xf numFmtId="10" fontId="17" fillId="2" borderId="0" xfId="3" applyNumberFormat="1" applyFont="1" applyFill="1" applyBorder="1" applyAlignment="1">
      <alignment horizontal="left" vertical="top"/>
    </xf>
    <xf numFmtId="2" fontId="18" fillId="2" borderId="0" xfId="3" applyNumberFormat="1" applyFont="1" applyFill="1" applyBorder="1"/>
    <xf numFmtId="0" fontId="18" fillId="2" borderId="0" xfId="3" applyFont="1" applyFill="1" applyBorder="1" applyAlignment="1">
      <alignment horizontal="center" vertical="center"/>
    </xf>
    <xf numFmtId="44" fontId="18" fillId="0" borderId="0" xfId="7" applyFont="1" applyBorder="1"/>
    <xf numFmtId="10" fontId="18" fillId="0" borderId="0" xfId="8" applyNumberFormat="1" applyFont="1" applyBorder="1"/>
    <xf numFmtId="0" fontId="17" fillId="2" borderId="0" xfId="3" applyFont="1" applyFill="1" applyBorder="1" applyAlignment="1">
      <alignment horizontal="left" vertical="top" wrapText="1"/>
    </xf>
    <xf numFmtId="2" fontId="19" fillId="2" borderId="0" xfId="3" applyNumberFormat="1" applyFont="1" applyFill="1" applyBorder="1" applyAlignment="1">
      <alignment horizontal="right" vertical="top" wrapText="1"/>
    </xf>
    <xf numFmtId="1" fontId="18" fillId="0" borderId="0" xfId="0" applyNumberFormat="1" applyFont="1"/>
    <xf numFmtId="0" fontId="18" fillId="0" borderId="9" xfId="0" applyFont="1" applyBorder="1"/>
    <xf numFmtId="0" fontId="17" fillId="2" borderId="0" xfId="3" applyFont="1" applyFill="1" applyBorder="1" applyAlignment="1">
      <alignment horizontal="center" vertical="top"/>
    </xf>
    <xf numFmtId="2" fontId="17" fillId="2" borderId="0" xfId="3" applyNumberFormat="1" applyFont="1" applyFill="1" applyBorder="1" applyAlignment="1">
      <alignment horizontal="right" vertical="top" wrapText="1"/>
    </xf>
    <xf numFmtId="44" fontId="18" fillId="2" borderId="0" xfId="3" applyNumberFormat="1" applyFont="1" applyFill="1" applyBorder="1" applyAlignment="1">
      <alignment horizontal="left" vertical="top"/>
    </xf>
    <xf numFmtId="0" fontId="28" fillId="2" borderId="0" xfId="0" applyFont="1" applyFill="1" applyBorder="1"/>
    <xf numFmtId="0" fontId="21" fillId="2" borderId="0" xfId="0" applyFont="1" applyFill="1" applyBorder="1" applyAlignment="1"/>
    <xf numFmtId="165" fontId="18" fillId="0" borderId="0" xfId="0" applyNumberFormat="1" applyFont="1"/>
    <xf numFmtId="0" fontId="17" fillId="2" borderId="7" xfId="3" applyFont="1" applyFill="1" applyBorder="1" applyAlignment="1">
      <alignment horizontal="center" vertical="center"/>
    </xf>
    <xf numFmtId="0" fontId="29" fillId="7" borderId="0" xfId="0" applyFont="1" applyFill="1" applyBorder="1" applyAlignment="1">
      <alignment horizontal="left" vertical="center" wrapText="1" indent="1"/>
    </xf>
    <xf numFmtId="0" fontId="24" fillId="7" borderId="0" xfId="0" applyFont="1" applyFill="1" applyBorder="1" applyAlignment="1">
      <alignment horizontal="center" vertical="center"/>
    </xf>
    <xf numFmtId="44" fontId="24" fillId="2" borderId="0" xfId="0" applyNumberFormat="1" applyFont="1" applyFill="1" applyBorder="1" applyAlignment="1">
      <alignment horizontal="center" vertical="center"/>
    </xf>
    <xf numFmtId="0" fontId="24" fillId="2" borderId="0" xfId="0" applyFont="1" applyFill="1" applyBorder="1" applyAlignment="1">
      <alignment horizontal="center" vertical="center"/>
    </xf>
    <xf numFmtId="0" fontId="24" fillId="0" borderId="0" xfId="0" applyFont="1" applyFill="1" applyBorder="1" applyAlignment="1">
      <alignment horizontal="center" vertical="center"/>
    </xf>
    <xf numFmtId="44" fontId="24" fillId="0" borderId="0" xfId="0" applyNumberFormat="1" applyFont="1" applyFill="1" applyBorder="1" applyAlignment="1">
      <alignment horizontal="center" vertical="center"/>
    </xf>
    <xf numFmtId="0" fontId="29" fillId="7" borderId="0" xfId="0" applyFont="1" applyFill="1" applyBorder="1"/>
    <xf numFmtId="0" fontId="24" fillId="0" borderId="0" xfId="0" applyFont="1" applyFill="1" applyBorder="1" applyAlignment="1">
      <alignment horizontal="center" vertical="center" wrapText="1"/>
    </xf>
    <xf numFmtId="0" fontId="29" fillId="7" borderId="0" xfId="0" applyFont="1" applyFill="1" applyBorder="1" applyAlignment="1">
      <alignment horizontal="center" vertical="center" wrapText="1"/>
    </xf>
    <xf numFmtId="0" fontId="29" fillId="7" borderId="0" xfId="0" applyFont="1" applyFill="1" applyBorder="1" applyAlignment="1">
      <alignment horizontal="center" wrapText="1"/>
    </xf>
    <xf numFmtId="0" fontId="29" fillId="7" borderId="3" xfId="0" applyFont="1" applyFill="1" applyBorder="1" applyAlignment="1">
      <alignment horizontal="center" vertical="center" wrapText="1"/>
    </xf>
    <xf numFmtId="44" fontId="24" fillId="7" borderId="3" xfId="0" applyNumberFormat="1" applyFont="1" applyFill="1" applyBorder="1" applyAlignment="1">
      <alignment horizontal="center" vertical="center"/>
    </xf>
    <xf numFmtId="0" fontId="32" fillId="2" borderId="0" xfId="1" applyFont="1" applyFill="1" applyBorder="1" applyAlignment="1">
      <alignment horizontal="center" vertical="center"/>
    </xf>
    <xf numFmtId="44" fontId="29" fillId="7" borderId="3" xfId="0" applyNumberFormat="1" applyFont="1" applyFill="1" applyBorder="1" applyAlignment="1">
      <alignment horizontal="center" vertical="center" wrapText="1"/>
    </xf>
    <xf numFmtId="0" fontId="29" fillId="7" borderId="5" xfId="0" applyFont="1" applyFill="1" applyBorder="1" applyAlignment="1">
      <alignment horizontal="center" vertical="center" wrapText="1"/>
    </xf>
    <xf numFmtId="44" fontId="29" fillId="7" borderId="5" xfId="0" applyNumberFormat="1" applyFont="1" applyFill="1" applyBorder="1" applyAlignment="1">
      <alignment horizontal="center" vertical="center" wrapText="1"/>
    </xf>
    <xf numFmtId="0" fontId="29" fillId="2" borderId="3" xfId="0" applyFont="1" applyFill="1" applyBorder="1" applyAlignment="1">
      <alignment horizontal="center" vertical="center" wrapText="1"/>
    </xf>
    <xf numFmtId="44" fontId="29" fillId="2" borderId="3" xfId="0" applyNumberFormat="1" applyFont="1" applyFill="1" applyBorder="1" applyAlignment="1">
      <alignment horizontal="center" vertical="center" wrapText="1"/>
    </xf>
    <xf numFmtId="0" fontId="24" fillId="2" borderId="3" xfId="0" applyFont="1" applyFill="1" applyBorder="1" applyAlignment="1">
      <alignment horizontal="center" vertical="center"/>
    </xf>
    <xf numFmtId="0" fontId="30" fillId="7" borderId="3" xfId="0" applyFont="1" applyFill="1" applyBorder="1" applyAlignment="1">
      <alignment horizontal="center" vertical="center" wrapText="1"/>
    </xf>
    <xf numFmtId="44" fontId="30" fillId="7" borderId="3" xfId="0" applyNumberFormat="1" applyFont="1" applyFill="1" applyBorder="1" applyAlignment="1">
      <alignment horizontal="center" vertical="center" wrapText="1"/>
    </xf>
    <xf numFmtId="0" fontId="30" fillId="2" borderId="3" xfId="0" applyFont="1" applyFill="1" applyBorder="1" applyAlignment="1">
      <alignment horizontal="center" vertical="center" wrapText="1"/>
    </xf>
    <xf numFmtId="44" fontId="30" fillId="2" borderId="3" xfId="0" applyNumberFormat="1" applyFont="1" applyFill="1" applyBorder="1" applyAlignment="1">
      <alignment horizontal="center" vertical="center" wrapText="1"/>
    </xf>
    <xf numFmtId="0" fontId="31" fillId="7" borderId="3" xfId="0" applyFont="1" applyFill="1" applyBorder="1" applyAlignment="1">
      <alignment horizontal="center" vertical="center" wrapText="1"/>
    </xf>
    <xf numFmtId="44" fontId="31" fillId="7" borderId="3" xfId="0" applyNumberFormat="1" applyFont="1" applyFill="1" applyBorder="1" applyAlignment="1">
      <alignment horizontal="center" vertical="center" wrapText="1"/>
    </xf>
    <xf numFmtId="0" fontId="33" fillId="2" borderId="3" xfId="0" applyFont="1" applyFill="1" applyBorder="1" applyAlignment="1">
      <alignment horizontal="center" vertical="center"/>
    </xf>
    <xf numFmtId="0" fontId="33" fillId="2" borderId="0" xfId="0" applyFont="1" applyFill="1" applyBorder="1" applyAlignment="1">
      <alignment horizontal="center" vertical="center"/>
    </xf>
    <xf numFmtId="0" fontId="31" fillId="2" borderId="3" xfId="0" applyFont="1" applyFill="1" applyBorder="1" applyAlignment="1">
      <alignment horizontal="center" vertical="center" wrapText="1"/>
    </xf>
    <xf numFmtId="44" fontId="31" fillId="2" borderId="3" xfId="0" applyNumberFormat="1" applyFont="1" applyFill="1" applyBorder="1" applyAlignment="1">
      <alignment horizontal="center" vertical="center" wrapText="1"/>
    </xf>
    <xf numFmtId="0" fontId="31" fillId="3" borderId="3" xfId="0" applyFont="1" applyFill="1" applyBorder="1" applyAlignment="1">
      <alignment horizontal="center" vertical="center" wrapText="1"/>
    </xf>
    <xf numFmtId="44" fontId="31" fillId="3" borderId="3" xfId="0" applyNumberFormat="1" applyFont="1" applyFill="1" applyBorder="1" applyAlignment="1">
      <alignment horizontal="center" vertical="center" wrapText="1"/>
    </xf>
    <xf numFmtId="44" fontId="24" fillId="7" borderId="3" xfId="0" applyNumberFormat="1" applyFont="1" applyFill="1" applyBorder="1" applyAlignment="1">
      <alignment horizontal="center" vertical="center" wrapText="1"/>
    </xf>
    <xf numFmtId="0" fontId="24" fillId="7" borderId="3" xfId="0" applyFont="1" applyFill="1" applyBorder="1" applyAlignment="1">
      <alignment horizontal="center" vertical="center" wrapText="1"/>
    </xf>
    <xf numFmtId="0" fontId="25" fillId="7" borderId="3" xfId="0" applyFont="1" applyFill="1" applyBorder="1" applyAlignment="1">
      <alignment horizontal="center" vertical="center" wrapText="1"/>
    </xf>
    <xf numFmtId="44" fontId="25" fillId="7" borderId="3" xfId="0" applyNumberFormat="1" applyFont="1" applyFill="1" applyBorder="1" applyAlignment="1">
      <alignment horizontal="center" vertical="center" wrapText="1"/>
    </xf>
    <xf numFmtId="0" fontId="24" fillId="2" borderId="3" xfId="0" applyFont="1" applyFill="1" applyBorder="1" applyAlignment="1">
      <alignment horizontal="center" vertical="center" wrapText="1"/>
    </xf>
    <xf numFmtId="44" fontId="24" fillId="2" borderId="3" xfId="0" applyNumberFormat="1" applyFont="1" applyFill="1" applyBorder="1" applyAlignment="1">
      <alignment horizontal="center" vertical="center" wrapText="1"/>
    </xf>
    <xf numFmtId="44" fontId="31" fillId="7" borderId="3" xfId="0" applyNumberFormat="1" applyFont="1" applyFill="1" applyBorder="1" applyAlignment="1">
      <alignment horizontal="center" vertical="center"/>
    </xf>
    <xf numFmtId="164" fontId="24" fillId="2" borderId="3" xfId="0" applyNumberFormat="1" applyFont="1" applyFill="1" applyBorder="1" applyAlignment="1">
      <alignment horizontal="center" vertical="center"/>
    </xf>
    <xf numFmtId="44" fontId="24" fillId="2" borderId="3" xfId="0" applyNumberFormat="1" applyFont="1" applyFill="1" applyBorder="1" applyAlignment="1">
      <alignment horizontal="center" vertical="center"/>
    </xf>
    <xf numFmtId="14" fontId="0" fillId="0" borderId="0" xfId="0" applyNumberFormat="1"/>
    <xf numFmtId="165" fontId="0" fillId="0" borderId="0" xfId="0" applyNumberFormat="1" applyAlignment="1">
      <alignment horizontal="center" vertical="center" wrapText="1"/>
    </xf>
    <xf numFmtId="0" fontId="15" fillId="2" borderId="0" xfId="0" applyFont="1" applyFill="1" applyAlignment="1">
      <alignment horizontal="center" vertical="center" wrapText="1"/>
    </xf>
    <xf numFmtId="0" fontId="33" fillId="7" borderId="3" xfId="0" applyFont="1" applyFill="1" applyBorder="1" applyAlignment="1">
      <alignment horizontal="center" vertical="center" wrapText="1"/>
    </xf>
    <xf numFmtId="44" fontId="33" fillId="7" borderId="3" xfId="7" applyFont="1" applyFill="1" applyBorder="1" applyAlignment="1">
      <alignment horizontal="center" vertical="center" wrapText="1"/>
    </xf>
    <xf numFmtId="0" fontId="0" fillId="0" borderId="0" xfId="0" applyAlignment="1">
      <alignment horizontal="center" vertical="center"/>
    </xf>
    <xf numFmtId="0" fontId="18" fillId="0" borderId="0" xfId="0" applyFont="1" applyBorder="1" applyAlignment="1">
      <alignment horizontal="center" vertical="center"/>
    </xf>
    <xf numFmtId="0" fontId="18" fillId="0" borderId="0" xfId="0" applyFont="1" applyBorder="1" applyAlignment="1">
      <alignment horizontal="left" vertical="center"/>
    </xf>
    <xf numFmtId="0" fontId="18" fillId="0" borderId="0" xfId="0" applyFont="1" applyBorder="1" applyAlignment="1">
      <alignment horizontal="left" vertical="center" wrapText="1"/>
    </xf>
    <xf numFmtId="0" fontId="15" fillId="0" borderId="0" xfId="0" applyFont="1" applyAlignment="1">
      <alignment wrapText="1"/>
    </xf>
    <xf numFmtId="0" fontId="18" fillId="0" borderId="0" xfId="0" applyFont="1" applyBorder="1" applyAlignment="1">
      <alignment horizontal="center" vertical="center"/>
    </xf>
    <xf numFmtId="0" fontId="34" fillId="0" borderId="0" xfId="0" applyFont="1" applyFill="1" applyBorder="1" applyAlignment="1">
      <alignment horizontal="center" vertical="center"/>
    </xf>
    <xf numFmtId="0" fontId="34" fillId="0" borderId="0" xfId="0" applyFont="1" applyFill="1" applyBorder="1" applyAlignment="1">
      <alignment horizontal="center" vertical="center" wrapText="1"/>
    </xf>
    <xf numFmtId="0" fontId="35" fillId="0" borderId="0" xfId="0" applyFont="1" applyFill="1" applyBorder="1" applyAlignment="1">
      <alignment horizontal="center" vertical="center" wrapText="1"/>
    </xf>
    <xf numFmtId="0" fontId="34" fillId="0" borderId="0" xfId="0" applyFont="1" applyFill="1" applyBorder="1" applyAlignment="1">
      <alignment horizontal="left" vertical="center" wrapText="1"/>
    </xf>
    <xf numFmtId="2" fontId="34" fillId="0" borderId="0" xfId="0" applyNumberFormat="1" applyFont="1" applyFill="1" applyBorder="1" applyAlignment="1">
      <alignment horizontal="center" vertical="center" wrapText="1"/>
    </xf>
    <xf numFmtId="0" fontId="34" fillId="0" borderId="0" xfId="0" applyFont="1" applyFill="1" applyBorder="1" applyAlignment="1">
      <alignment horizontal="left" vertical="center"/>
    </xf>
    <xf numFmtId="0" fontId="35" fillId="0" borderId="0" xfId="0" applyFont="1" applyFill="1" applyBorder="1" applyAlignment="1">
      <alignment horizontal="center" vertical="center"/>
    </xf>
    <xf numFmtId="0" fontId="36" fillId="0" borderId="0" xfId="0" applyFont="1" applyFill="1" applyBorder="1" applyAlignment="1">
      <alignment horizontal="center" vertical="center" wrapText="1"/>
    </xf>
    <xf numFmtId="0" fontId="35" fillId="0" borderId="0" xfId="0" applyFont="1" applyFill="1" applyBorder="1" applyAlignment="1">
      <alignment horizontal="left" vertical="center" wrapText="1"/>
    </xf>
    <xf numFmtId="2" fontId="35" fillId="0" borderId="0" xfId="0" applyNumberFormat="1" applyFont="1" applyFill="1" applyBorder="1" applyAlignment="1">
      <alignment horizontal="center" vertical="center" wrapText="1"/>
    </xf>
    <xf numFmtId="4" fontId="35" fillId="0" borderId="0" xfId="0" applyNumberFormat="1" applyFont="1" applyFill="1" applyBorder="1" applyAlignment="1">
      <alignment horizontal="center" vertical="center" wrapText="1"/>
    </xf>
    <xf numFmtId="49" fontId="34" fillId="0" borderId="0" xfId="0" applyNumberFormat="1" applyFont="1" applyFill="1" applyBorder="1" applyAlignment="1">
      <alignment horizontal="left" vertical="center" wrapText="1"/>
    </xf>
    <xf numFmtId="4" fontId="34" fillId="0" borderId="0" xfId="0" applyNumberFormat="1" applyFont="1" applyFill="1" applyBorder="1" applyAlignment="1">
      <alignment horizontal="center" vertical="center" wrapText="1"/>
    </xf>
    <xf numFmtId="10" fontId="34" fillId="0" borderId="0" xfId="8" applyNumberFormat="1" applyFont="1" applyFill="1" applyBorder="1" applyAlignment="1">
      <alignment horizontal="center" vertical="center" wrapText="1"/>
    </xf>
    <xf numFmtId="172" fontId="34" fillId="0" borderId="0" xfId="8" applyNumberFormat="1" applyFont="1" applyFill="1" applyBorder="1" applyAlignment="1">
      <alignment horizontal="center" vertical="center" wrapText="1"/>
    </xf>
    <xf numFmtId="168" fontId="34" fillId="0" borderId="0" xfId="8" applyNumberFormat="1" applyFont="1" applyFill="1" applyBorder="1" applyAlignment="1">
      <alignment horizontal="center" vertical="center" wrapText="1"/>
    </xf>
    <xf numFmtId="10" fontId="34" fillId="0" borderId="0" xfId="0" applyNumberFormat="1" applyFont="1" applyFill="1" applyBorder="1" applyAlignment="1">
      <alignment horizontal="center" vertical="center" wrapText="1"/>
    </xf>
    <xf numFmtId="44" fontId="34" fillId="0" borderId="0" xfId="7" applyFont="1" applyFill="1" applyBorder="1" applyAlignment="1">
      <alignment horizontal="center" vertical="center" wrapText="1"/>
    </xf>
    <xf numFmtId="0" fontId="36" fillId="0" borderId="0" xfId="0" applyFont="1" applyBorder="1" applyAlignment="1">
      <alignment horizontal="center" vertical="center"/>
    </xf>
    <xf numFmtId="0" fontId="36" fillId="0" borderId="0" xfId="0" applyFont="1" applyBorder="1" applyAlignment="1">
      <alignment horizontal="left" vertical="center" wrapText="1"/>
    </xf>
    <xf numFmtId="3" fontId="36" fillId="0" borderId="0" xfId="0" applyNumberFormat="1" applyFont="1" applyBorder="1" applyAlignment="1">
      <alignment horizontal="center" vertical="center" wrapText="1"/>
    </xf>
    <xf numFmtId="0" fontId="34" fillId="0" borderId="0" xfId="0" applyFont="1"/>
    <xf numFmtId="10" fontId="34" fillId="0" borderId="0" xfId="8" applyNumberFormat="1" applyFont="1"/>
    <xf numFmtId="0" fontId="34" fillId="0" borderId="0" xfId="0" applyFont="1" applyAlignment="1">
      <alignment wrapText="1"/>
    </xf>
    <xf numFmtId="0" fontId="38" fillId="0" borderId="0" xfId="0" applyFont="1" applyAlignment="1">
      <alignment wrapText="1"/>
    </xf>
    <xf numFmtId="0" fontId="38" fillId="0" borderId="0" xfId="0" applyFont="1"/>
    <xf numFmtId="0" fontId="34" fillId="0" borderId="22" xfId="0" applyFont="1" applyBorder="1"/>
    <xf numFmtId="0" fontId="34" fillId="0" borderId="23" xfId="0" applyFont="1" applyBorder="1"/>
    <xf numFmtId="0" fontId="41" fillId="2" borderId="22" xfId="0" applyFont="1" applyFill="1" applyBorder="1"/>
    <xf numFmtId="0" fontId="41" fillId="2" borderId="24" xfId="0" applyFont="1" applyFill="1" applyBorder="1"/>
    <xf numFmtId="0" fontId="41" fillId="2" borderId="23" xfId="0" applyFont="1" applyFill="1" applyBorder="1"/>
    <xf numFmtId="0" fontId="34" fillId="0" borderId="24" xfId="0" applyFont="1" applyBorder="1"/>
    <xf numFmtId="0" fontId="34" fillId="0" borderId="25" xfId="0" applyFont="1" applyBorder="1" applyAlignment="1">
      <alignment horizontal="center" vertical="center"/>
    </xf>
    <xf numFmtId="0" fontId="34" fillId="0" borderId="26" xfId="0" applyFont="1" applyBorder="1" applyAlignment="1">
      <alignment horizontal="center" vertical="center"/>
    </xf>
    <xf numFmtId="0" fontId="34" fillId="2" borderId="25" xfId="0" applyFont="1" applyFill="1" applyBorder="1" applyAlignment="1">
      <alignment horizontal="center" vertical="center" wrapText="1"/>
    </xf>
    <xf numFmtId="0" fontId="34" fillId="2" borderId="0" xfId="0" applyFont="1" applyFill="1" applyBorder="1" applyAlignment="1">
      <alignment horizontal="center" vertical="center"/>
    </xf>
    <xf numFmtId="0" fontId="34" fillId="0" borderId="0" xfId="0" applyFont="1" applyBorder="1"/>
    <xf numFmtId="0" fontId="34" fillId="2" borderId="0" xfId="0" applyFont="1" applyFill="1" applyBorder="1" applyAlignment="1">
      <alignment horizontal="center" vertical="center" wrapText="1"/>
    </xf>
    <xf numFmtId="0" fontId="34" fillId="2" borderId="26" xfId="0" applyFont="1" applyFill="1" applyBorder="1" applyAlignment="1">
      <alignment horizontal="center" vertical="center"/>
    </xf>
    <xf numFmtId="0" fontId="34" fillId="0" borderId="25" xfId="0" applyFont="1" applyBorder="1" applyAlignment="1">
      <alignment horizontal="center" vertical="center" wrapText="1"/>
    </xf>
    <xf numFmtId="0" fontId="34" fillId="0" borderId="0" xfId="0" applyFont="1" applyBorder="1" applyAlignment="1">
      <alignment horizontal="center" vertical="center" wrapText="1"/>
    </xf>
    <xf numFmtId="0" fontId="34" fillId="2" borderId="0" xfId="0" applyFont="1" applyFill="1" applyBorder="1" applyAlignment="1">
      <alignment wrapText="1"/>
    </xf>
    <xf numFmtId="0" fontId="34" fillId="0" borderId="26" xfId="0" applyFont="1" applyBorder="1" applyAlignment="1">
      <alignment horizontal="center" vertical="center" wrapText="1"/>
    </xf>
    <xf numFmtId="0" fontId="34" fillId="0" borderId="0" xfId="0" applyFont="1" applyBorder="1" applyAlignment="1">
      <alignment horizontal="center" vertical="center"/>
    </xf>
    <xf numFmtId="0" fontId="41" fillId="0" borderId="25" xfId="0" applyFont="1" applyBorder="1" applyAlignment="1">
      <alignment horizontal="center" vertical="center" wrapText="1"/>
    </xf>
    <xf numFmtId="0" fontId="41" fillId="0" borderId="0" xfId="0" applyFont="1" applyBorder="1" applyAlignment="1">
      <alignment horizontal="center" vertical="center" wrapText="1"/>
    </xf>
    <xf numFmtId="0" fontId="41" fillId="0" borderId="26" xfId="0" applyFont="1" applyBorder="1" applyAlignment="1">
      <alignment horizontal="center" vertical="center" wrapText="1"/>
    </xf>
    <xf numFmtId="0" fontId="34" fillId="0" borderId="25" xfId="0" applyFont="1" applyBorder="1" applyAlignment="1">
      <alignment wrapText="1"/>
    </xf>
    <xf numFmtId="0" fontId="34" fillId="0" borderId="26" xfId="0" applyFont="1" applyBorder="1"/>
    <xf numFmtId="0" fontId="36" fillId="0" borderId="25" xfId="0" applyFont="1" applyBorder="1" applyAlignment="1">
      <alignment wrapText="1"/>
    </xf>
    <xf numFmtId="0" fontId="42" fillId="0" borderId="25" xfId="0" applyFont="1" applyBorder="1"/>
    <xf numFmtId="10" fontId="42" fillId="0" borderId="0" xfId="8" applyNumberFormat="1" applyFont="1" applyBorder="1"/>
    <xf numFmtId="0" fontId="34" fillId="2" borderId="0" xfId="0" applyFont="1" applyFill="1" applyBorder="1"/>
    <xf numFmtId="0" fontId="42" fillId="0" borderId="0" xfId="0" applyFont="1" applyBorder="1"/>
    <xf numFmtId="10" fontId="42" fillId="0" borderId="26" xfId="8" applyNumberFormat="1" applyFont="1" applyBorder="1"/>
    <xf numFmtId="0" fontId="34" fillId="2" borderId="25" xfId="0" applyFont="1" applyFill="1" applyBorder="1" applyAlignment="1">
      <alignment wrapText="1"/>
    </xf>
    <xf numFmtId="10" fontId="34" fillId="2" borderId="0" xfId="8" applyNumberFormat="1" applyFont="1" applyFill="1" applyBorder="1" applyAlignment="1">
      <alignment wrapText="1"/>
    </xf>
    <xf numFmtId="0" fontId="34" fillId="0" borderId="0" xfId="0" applyFont="1" applyBorder="1" applyAlignment="1">
      <alignment wrapText="1"/>
    </xf>
    <xf numFmtId="10" fontId="34" fillId="0" borderId="26" xfId="8" applyNumberFormat="1" applyFont="1" applyBorder="1"/>
    <xf numFmtId="44" fontId="34" fillId="0" borderId="0" xfId="7" applyFont="1" applyBorder="1" applyAlignment="1">
      <alignment horizontal="center" vertical="center"/>
    </xf>
    <xf numFmtId="0" fontId="36" fillId="0" borderId="25" xfId="0" applyFont="1" applyBorder="1"/>
    <xf numFmtId="0" fontId="36" fillId="0" borderId="0" xfId="0" applyFont="1" applyBorder="1" applyAlignment="1">
      <alignment wrapText="1"/>
    </xf>
    <xf numFmtId="165" fontId="36" fillId="0" borderId="26" xfId="7" applyNumberFormat="1" applyFont="1" applyBorder="1"/>
    <xf numFmtId="2" fontId="36" fillId="0" borderId="0" xfId="0" applyNumberFormat="1" applyFont="1" applyBorder="1" applyAlignment="1">
      <alignment horizontal="center" vertical="center"/>
    </xf>
    <xf numFmtId="0" fontId="34" fillId="0" borderId="25" xfId="0" applyFont="1" applyBorder="1"/>
    <xf numFmtId="10" fontId="34" fillId="0" borderId="0" xfId="8" applyNumberFormat="1" applyFont="1" applyBorder="1"/>
    <xf numFmtId="9" fontId="34" fillId="2" borderId="0" xfId="8" applyFont="1" applyFill="1" applyBorder="1" applyAlignment="1">
      <alignment wrapText="1"/>
    </xf>
    <xf numFmtId="0" fontId="36" fillId="0" borderId="25" xfId="0" applyFont="1" applyBorder="1" applyAlignment="1">
      <alignment horizontal="center" vertical="center" wrapText="1"/>
    </xf>
    <xf numFmtId="14" fontId="36" fillId="0" borderId="0" xfId="0" applyNumberFormat="1" applyFont="1" applyBorder="1" applyAlignment="1">
      <alignment horizontal="center" vertical="center"/>
    </xf>
    <xf numFmtId="14" fontId="34" fillId="0" borderId="26" xfId="0" applyNumberFormat="1" applyFont="1" applyBorder="1" applyAlignment="1">
      <alignment horizontal="center" vertical="center" wrapText="1"/>
    </xf>
    <xf numFmtId="1" fontId="36" fillId="0" borderId="0" xfId="0" applyNumberFormat="1" applyFont="1" applyBorder="1" applyAlignment="1">
      <alignment horizontal="center" vertical="center"/>
    </xf>
    <xf numFmtId="0" fontId="34" fillId="0" borderId="27" xfId="0" applyFont="1" applyBorder="1"/>
    <xf numFmtId="0" fontId="34" fillId="0" borderId="28" xfId="0" applyFont="1" applyBorder="1"/>
    <xf numFmtId="44" fontId="36" fillId="0" borderId="0" xfId="7" applyFont="1" applyBorder="1" applyAlignment="1">
      <alignment horizontal="center" vertical="center"/>
    </xf>
    <xf numFmtId="44" fontId="34" fillId="0" borderId="26" xfId="7" applyFont="1" applyBorder="1" applyAlignment="1">
      <alignment horizontal="center" vertical="center" wrapText="1"/>
    </xf>
    <xf numFmtId="0" fontId="42" fillId="0" borderId="25" xfId="0" applyFont="1" applyBorder="1" applyAlignment="1">
      <alignment horizontal="center" vertical="center"/>
    </xf>
    <xf numFmtId="10" fontId="42" fillId="0" borderId="0" xfId="8" applyNumberFormat="1" applyFont="1" applyBorder="1" applyAlignment="1">
      <alignment horizontal="right" vertical="center"/>
    </xf>
    <xf numFmtId="0" fontId="42" fillId="0" borderId="0" xfId="0" applyFont="1" applyBorder="1" applyAlignment="1">
      <alignment horizontal="center" vertical="center"/>
    </xf>
    <xf numFmtId="10" fontId="42" fillId="0" borderId="26" xfId="8" applyNumberFormat="1" applyFont="1" applyBorder="1" applyAlignment="1">
      <alignment horizontal="right" vertical="center"/>
    </xf>
    <xf numFmtId="44" fontId="34" fillId="0" borderId="26" xfId="7" applyFont="1" applyBorder="1" applyAlignment="1">
      <alignment horizontal="center" vertical="center"/>
    </xf>
    <xf numFmtId="9" fontId="36" fillId="0" borderId="0" xfId="8" applyFont="1" applyBorder="1" applyAlignment="1">
      <alignment horizontal="center" vertical="center"/>
    </xf>
    <xf numFmtId="10" fontId="34" fillId="0" borderId="26" xfId="8" applyNumberFormat="1" applyFont="1" applyBorder="1" applyAlignment="1">
      <alignment horizontal="center" vertical="center" wrapText="1"/>
    </xf>
    <xf numFmtId="0" fontId="42" fillId="2" borderId="25" xfId="0" applyFont="1" applyFill="1" applyBorder="1" applyAlignment="1">
      <alignment horizontal="center" wrapText="1"/>
    </xf>
    <xf numFmtId="0" fontId="42" fillId="2" borderId="0" xfId="0" applyFont="1" applyFill="1" applyBorder="1" applyAlignment="1">
      <alignment horizontal="center" vertical="center"/>
    </xf>
    <xf numFmtId="0" fontId="42" fillId="2" borderId="0" xfId="0" applyFont="1" applyFill="1" applyBorder="1" applyAlignment="1">
      <alignment horizontal="center" wrapText="1"/>
    </xf>
    <xf numFmtId="0" fontId="42" fillId="2" borderId="26" xfId="0" applyFont="1" applyFill="1" applyBorder="1" applyAlignment="1">
      <alignment horizontal="center" vertical="center"/>
    </xf>
    <xf numFmtId="0" fontId="34" fillId="0" borderId="29" xfId="0" applyFont="1" applyBorder="1"/>
    <xf numFmtId="0" fontId="36" fillId="0" borderId="29" xfId="0" applyFont="1" applyBorder="1" applyAlignment="1">
      <alignment wrapText="1"/>
    </xf>
    <xf numFmtId="9" fontId="36" fillId="0" borderId="29" xfId="8" applyFont="1" applyBorder="1" applyAlignment="1">
      <alignment horizontal="center" vertical="center"/>
    </xf>
    <xf numFmtId="1" fontId="36" fillId="0" borderId="0" xfId="7" applyNumberFormat="1" applyFont="1" applyBorder="1" applyAlignment="1">
      <alignment horizontal="center" vertical="center"/>
    </xf>
    <xf numFmtId="0" fontId="36" fillId="0" borderId="0" xfId="0" applyFont="1" applyAlignment="1">
      <alignment wrapText="1"/>
    </xf>
    <xf numFmtId="44" fontId="36" fillId="0" borderId="0" xfId="7" applyFont="1" applyAlignment="1">
      <alignment horizontal="center" vertical="center"/>
    </xf>
    <xf numFmtId="9" fontId="34" fillId="0" borderId="26" xfId="8" applyFont="1" applyBorder="1" applyAlignment="1">
      <alignment horizontal="center" vertical="center" wrapText="1"/>
    </xf>
    <xf numFmtId="1" fontId="36" fillId="0" borderId="0" xfId="7" applyNumberFormat="1" applyFont="1" applyAlignment="1">
      <alignment horizontal="center" vertical="center"/>
    </xf>
    <xf numFmtId="9" fontId="36" fillId="0" borderId="0" xfId="8" applyFont="1" applyAlignment="1">
      <alignment horizontal="center" vertical="center"/>
    </xf>
    <xf numFmtId="0" fontId="42" fillId="2" borderId="25" xfId="0" applyFont="1" applyFill="1" applyBorder="1" applyAlignment="1">
      <alignment horizontal="center" vertical="center"/>
    </xf>
    <xf numFmtId="0" fontId="41" fillId="0" borderId="25" xfId="0" applyFont="1" applyBorder="1"/>
    <xf numFmtId="0" fontId="41" fillId="0" borderId="0" xfId="0" applyFont="1" applyBorder="1" applyAlignment="1">
      <alignment wrapText="1"/>
    </xf>
    <xf numFmtId="0" fontId="41" fillId="0" borderId="0" xfId="0" applyFont="1" applyBorder="1" applyAlignment="1">
      <alignment horizontal="center" vertical="center"/>
    </xf>
    <xf numFmtId="0" fontId="41" fillId="0" borderId="26" xfId="0" applyFont="1" applyBorder="1"/>
    <xf numFmtId="0" fontId="38" fillId="0" borderId="27" xfId="0" applyFont="1" applyBorder="1"/>
    <xf numFmtId="0" fontId="38" fillId="0" borderId="29" xfId="0" applyFont="1" applyBorder="1"/>
    <xf numFmtId="0" fontId="38" fillId="0" borderId="28" xfId="0" applyFont="1" applyBorder="1"/>
    <xf numFmtId="0" fontId="37" fillId="0" borderId="11" xfId="11" applyFont="1" applyFill="1" applyBorder="1" applyAlignment="1">
      <alignment horizontal="left" vertical="center" wrapText="1"/>
    </xf>
    <xf numFmtId="3" fontId="37" fillId="0" borderId="11" xfId="11" applyNumberFormat="1" applyFont="1" applyFill="1" applyBorder="1" applyAlignment="1">
      <alignment horizontal="center" vertical="center" wrapText="1"/>
    </xf>
    <xf numFmtId="3" fontId="37" fillId="0" borderId="0" xfId="11" applyNumberFormat="1" applyFont="1" applyFill="1" applyBorder="1" applyAlignment="1">
      <alignment horizontal="center" vertical="center" wrapText="1"/>
    </xf>
    <xf numFmtId="0" fontId="37" fillId="0" borderId="0" xfId="0" applyFont="1" applyFill="1" applyBorder="1" applyAlignment="1">
      <alignment horizontal="center" vertical="center" wrapText="1"/>
    </xf>
    <xf numFmtId="0" fontId="37" fillId="0" borderId="0" xfId="9" applyNumberFormat="1" applyFont="1" applyFill="1" applyBorder="1" applyAlignment="1">
      <alignment horizontal="center" vertical="center" wrapText="1"/>
    </xf>
    <xf numFmtId="2" fontId="37" fillId="0" borderId="0" xfId="9" applyNumberFormat="1" applyFont="1" applyFill="1" applyBorder="1" applyAlignment="1">
      <alignment horizontal="center" vertical="center" wrapText="1"/>
    </xf>
    <xf numFmtId="167" fontId="37" fillId="0" borderId="0" xfId="9" applyNumberFormat="1" applyFont="1" applyFill="1" applyBorder="1" applyAlignment="1">
      <alignment horizontal="center" vertical="center" wrapText="1"/>
    </xf>
    <xf numFmtId="171" fontId="37" fillId="0" borderId="0" xfId="9" applyNumberFormat="1" applyFont="1" applyFill="1" applyBorder="1" applyAlignment="1">
      <alignment horizontal="center" vertical="center" wrapText="1"/>
    </xf>
    <xf numFmtId="166" fontId="37" fillId="0" borderId="0" xfId="9" applyNumberFormat="1" applyFont="1" applyFill="1" applyBorder="1" applyAlignment="1">
      <alignment horizontal="center" vertical="center" wrapText="1"/>
    </xf>
    <xf numFmtId="166" fontId="37" fillId="11" borderId="0" xfId="9" applyNumberFormat="1" applyFont="1" applyFill="1" applyBorder="1" applyAlignment="1">
      <alignment horizontal="center" vertical="center" wrapText="1"/>
    </xf>
    <xf numFmtId="44" fontId="37" fillId="0" borderId="0" xfId="9" applyNumberFormat="1" applyFont="1" applyFill="1" applyBorder="1" applyAlignment="1">
      <alignment horizontal="center" vertical="center" wrapText="1"/>
    </xf>
    <xf numFmtId="4" fontId="37" fillId="0" borderId="0" xfId="9" applyNumberFormat="1" applyFont="1" applyFill="1" applyBorder="1" applyAlignment="1">
      <alignment horizontal="center" vertical="center" wrapText="1"/>
    </xf>
    <xf numFmtId="4" fontId="37" fillId="11" borderId="0" xfId="9" applyNumberFormat="1" applyFont="1" applyFill="1" applyBorder="1" applyAlignment="1">
      <alignment horizontal="center" vertical="center" wrapText="1"/>
    </xf>
    <xf numFmtId="0" fontId="37" fillId="11" borderId="0" xfId="9" applyNumberFormat="1" applyFont="1" applyFill="1" applyBorder="1" applyAlignment="1">
      <alignment horizontal="center" vertical="center" wrapText="1"/>
    </xf>
    <xf numFmtId="0" fontId="34" fillId="0" borderId="0" xfId="9" applyFont="1" applyFill="1" applyBorder="1" applyAlignment="1">
      <alignment horizontal="center" vertical="center" wrapText="1"/>
    </xf>
    <xf numFmtId="0" fontId="34" fillId="0" borderId="2" xfId="0" applyFont="1" applyFill="1" applyBorder="1" applyAlignment="1">
      <alignment horizontal="center" vertical="center" wrapText="1"/>
    </xf>
    <xf numFmtId="0" fontId="34" fillId="0" borderId="2" xfId="9" applyNumberFormat="1" applyFont="1" applyFill="1" applyBorder="1" applyAlignment="1">
      <alignment horizontal="justify" vertical="center" wrapText="1"/>
    </xf>
    <xf numFmtId="0" fontId="34" fillId="0" borderId="2" xfId="9" applyNumberFormat="1" applyFont="1" applyFill="1" applyBorder="1" applyAlignment="1">
      <alignment horizontal="left" vertical="center" wrapText="1"/>
    </xf>
    <xf numFmtId="2" fontId="34" fillId="0" borderId="2" xfId="9" applyNumberFormat="1" applyFont="1" applyFill="1" applyBorder="1" applyAlignment="1">
      <alignment horizontal="center" vertical="center" wrapText="1"/>
    </xf>
    <xf numFmtId="0" fontId="34" fillId="0" borderId="2" xfId="9" applyNumberFormat="1" applyFont="1" applyFill="1" applyBorder="1" applyAlignment="1">
      <alignment horizontal="center" vertical="center" wrapText="1"/>
    </xf>
    <xf numFmtId="167" fontId="34" fillId="0" borderId="2" xfId="9" applyNumberFormat="1" applyFont="1" applyFill="1" applyBorder="1" applyAlignment="1">
      <alignment horizontal="center" vertical="center" wrapText="1"/>
    </xf>
    <xf numFmtId="171" fontId="34" fillId="0" borderId="2" xfId="9" applyNumberFormat="1" applyFont="1" applyFill="1" applyBorder="1" applyAlignment="1">
      <alignment horizontal="center" vertical="center" wrapText="1"/>
    </xf>
    <xf numFmtId="166" fontId="34" fillId="0" borderId="2" xfId="9" applyNumberFormat="1" applyFont="1" applyFill="1" applyBorder="1" applyAlignment="1">
      <alignment horizontal="center" vertical="center" wrapText="1"/>
    </xf>
    <xf numFmtId="166" fontId="34" fillId="11" borderId="2" xfId="9" applyNumberFormat="1" applyFont="1" applyFill="1" applyBorder="1" applyAlignment="1">
      <alignment horizontal="center" vertical="center" wrapText="1"/>
    </xf>
    <xf numFmtId="44" fontId="34" fillId="0" borderId="2" xfId="9" applyNumberFormat="1" applyFont="1" applyFill="1" applyBorder="1" applyAlignment="1">
      <alignment horizontal="center" vertical="center" wrapText="1"/>
    </xf>
    <xf numFmtId="169" fontId="34" fillId="0" borderId="2" xfId="9" applyNumberFormat="1" applyFont="1" applyFill="1" applyBorder="1" applyAlignment="1">
      <alignment horizontal="center" vertical="center" wrapText="1"/>
    </xf>
    <xf numFmtId="4" fontId="34" fillId="0" borderId="2" xfId="9" applyNumberFormat="1" applyFont="1" applyFill="1" applyBorder="1" applyAlignment="1">
      <alignment horizontal="center" vertical="center" wrapText="1"/>
    </xf>
    <xf numFmtId="4" fontId="34" fillId="11" borderId="2" xfId="9" applyNumberFormat="1" applyFont="1" applyFill="1" applyBorder="1" applyAlignment="1">
      <alignment horizontal="center" vertical="center" wrapText="1"/>
    </xf>
    <xf numFmtId="44" fontId="34" fillId="11" borderId="2" xfId="9" applyNumberFormat="1" applyFont="1" applyFill="1" applyBorder="1" applyAlignment="1">
      <alignment horizontal="center" vertical="center" wrapText="1"/>
    </xf>
    <xf numFmtId="170" fontId="34" fillId="0" borderId="2" xfId="9" applyNumberFormat="1" applyFont="1" applyFill="1" applyBorder="1" applyAlignment="1">
      <alignment horizontal="center" vertical="center" wrapText="1"/>
    </xf>
    <xf numFmtId="2" fontId="34" fillId="0" borderId="2" xfId="0" applyNumberFormat="1" applyFont="1" applyFill="1" applyBorder="1" applyAlignment="1">
      <alignment horizontal="center" vertical="center" wrapText="1"/>
    </xf>
    <xf numFmtId="166" fontId="34" fillId="11" borderId="0" xfId="9" applyNumberFormat="1" applyFont="1" applyFill="1" applyBorder="1" applyAlignment="1">
      <alignment horizontal="center" vertical="center" wrapText="1"/>
    </xf>
    <xf numFmtId="44" fontId="34" fillId="0" borderId="0" xfId="9" applyNumberFormat="1" applyFont="1" applyFill="1" applyBorder="1" applyAlignment="1">
      <alignment horizontal="center" vertical="center" wrapText="1"/>
    </xf>
    <xf numFmtId="0" fontId="34" fillId="0" borderId="2" xfId="9" applyFont="1" applyBorder="1" applyAlignment="1">
      <alignment horizontal="center" vertical="center" wrapText="1"/>
    </xf>
    <xf numFmtId="0" fontId="34" fillId="0" borderId="2" xfId="9" applyFont="1" applyBorder="1" applyAlignment="1">
      <alignment horizontal="justify" vertical="center" wrapText="1"/>
    </xf>
    <xf numFmtId="167" fontId="34" fillId="0" borderId="0" xfId="9" applyNumberFormat="1" applyFont="1" applyFill="1" applyBorder="1" applyAlignment="1">
      <alignment horizontal="center" vertical="center" wrapText="1"/>
    </xf>
    <xf numFmtId="0" fontId="34" fillId="0" borderId="0" xfId="0"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justify" vertical="center" wrapText="1"/>
    </xf>
    <xf numFmtId="0" fontId="34" fillId="0" borderId="0" xfId="0" applyNumberFormat="1" applyFont="1" applyFill="1" applyBorder="1" applyAlignment="1" applyProtection="1">
      <alignment horizontal="left" vertical="center" wrapText="1"/>
    </xf>
    <xf numFmtId="2" fontId="34" fillId="0" borderId="0" xfId="0" applyNumberFormat="1" applyFont="1" applyFill="1" applyBorder="1" applyAlignment="1" applyProtection="1">
      <alignment horizontal="center" vertical="center" wrapText="1"/>
    </xf>
    <xf numFmtId="167" fontId="34" fillId="0" borderId="0" xfId="0" applyNumberFormat="1" applyFont="1" applyFill="1" applyAlignment="1">
      <alignment vertical="center"/>
    </xf>
    <xf numFmtId="171" fontId="34" fillId="0" borderId="0" xfId="0" applyNumberFormat="1" applyFont="1" applyFill="1" applyBorder="1" applyAlignment="1" applyProtection="1">
      <alignment horizontal="center" vertical="center" wrapText="1"/>
    </xf>
    <xf numFmtId="2" fontId="34" fillId="11" borderId="0" xfId="0" applyNumberFormat="1" applyFont="1" applyFill="1" applyBorder="1" applyAlignment="1" applyProtection="1">
      <alignment horizontal="center" vertical="center" wrapText="1"/>
    </xf>
    <xf numFmtId="44" fontId="34" fillId="0" borderId="0" xfId="0" applyNumberFormat="1" applyFont="1" applyFill="1" applyBorder="1" applyAlignment="1" applyProtection="1">
      <alignment horizontal="center" vertical="center" wrapText="1"/>
    </xf>
    <xf numFmtId="4" fontId="34" fillId="0" borderId="0" xfId="0" applyNumberFormat="1" applyFont="1" applyFill="1" applyBorder="1" applyAlignment="1" applyProtection="1">
      <alignment horizontal="center" vertical="center" wrapText="1"/>
    </xf>
    <xf numFmtId="4" fontId="34" fillId="11" borderId="0" xfId="0" applyNumberFormat="1" applyFont="1" applyFill="1" applyBorder="1" applyAlignment="1" applyProtection="1">
      <alignment horizontal="center" vertical="center" wrapText="1"/>
    </xf>
    <xf numFmtId="44" fontId="34" fillId="11" borderId="0" xfId="7" applyFont="1" applyFill="1" applyBorder="1" applyAlignment="1" applyProtection="1">
      <alignment horizontal="center" vertical="center" wrapText="1"/>
    </xf>
    <xf numFmtId="170" fontId="34" fillId="0" borderId="0" xfId="0" applyNumberFormat="1" applyFont="1" applyFill="1" applyBorder="1" applyAlignment="1" applyProtection="1">
      <alignment horizontal="center" vertical="center" wrapText="1"/>
    </xf>
    <xf numFmtId="0" fontId="34" fillId="0" borderId="0" xfId="9" applyFont="1" applyFill="1" applyBorder="1" applyAlignment="1">
      <alignment horizontal="justify" vertical="center" wrapText="1"/>
    </xf>
    <xf numFmtId="0" fontId="34" fillId="0" borderId="0" xfId="9" applyFont="1" applyFill="1" applyBorder="1" applyAlignment="1">
      <alignment horizontal="left" vertical="center" wrapText="1"/>
    </xf>
    <xf numFmtId="2" fontId="34" fillId="0" borderId="0" xfId="9" applyNumberFormat="1" applyFont="1" applyFill="1" applyBorder="1" applyAlignment="1">
      <alignment horizontal="center" vertical="center" wrapText="1"/>
    </xf>
    <xf numFmtId="171" fontId="34" fillId="0" borderId="0" xfId="9" applyNumberFormat="1" applyFont="1" applyFill="1" applyBorder="1" applyAlignment="1">
      <alignment horizontal="center" vertical="center" wrapText="1"/>
    </xf>
    <xf numFmtId="166" fontId="34" fillId="0" borderId="0" xfId="9" applyNumberFormat="1" applyFont="1" applyFill="1" applyBorder="1" applyAlignment="1">
      <alignment horizontal="center" vertical="center" wrapText="1"/>
    </xf>
    <xf numFmtId="4" fontId="34" fillId="0" borderId="0" xfId="9" applyNumberFormat="1" applyFont="1" applyFill="1" applyBorder="1" applyAlignment="1">
      <alignment horizontal="center" vertical="center" wrapText="1"/>
    </xf>
    <xf numFmtId="169" fontId="34" fillId="0" borderId="0" xfId="0" applyNumberFormat="1" applyFont="1" applyFill="1" applyBorder="1" applyAlignment="1" applyProtection="1">
      <alignment horizontal="center" vertical="center" wrapText="1"/>
    </xf>
    <xf numFmtId="2" fontId="38" fillId="0" borderId="0" xfId="0" applyNumberFormat="1" applyFont="1" applyAlignment="1">
      <alignment wrapText="1"/>
    </xf>
    <xf numFmtId="0" fontId="38" fillId="0" borderId="0" xfId="0" applyFont="1" applyAlignment="1">
      <alignment horizontal="center" vertical="center" wrapText="1"/>
    </xf>
    <xf numFmtId="44" fontId="38" fillId="0" borderId="0" xfId="7" applyNumberFormat="1" applyFont="1" applyAlignment="1">
      <alignment wrapText="1"/>
    </xf>
    <xf numFmtId="0" fontId="46" fillId="0" borderId="0" xfId="12" applyFont="1" applyFill="1" applyBorder="1" applyAlignment="1">
      <alignment horizontal="center" vertical="center" wrapText="1"/>
    </xf>
    <xf numFmtId="44" fontId="46" fillId="0" borderId="0" xfId="7" applyFont="1" applyFill="1" applyBorder="1" applyAlignment="1">
      <alignment horizontal="center" vertical="center" wrapText="1"/>
    </xf>
    <xf numFmtId="0" fontId="38" fillId="2" borderId="0" xfId="0" applyFont="1" applyFill="1" applyBorder="1" applyAlignment="1">
      <alignment horizontal="center" vertical="center" wrapText="1"/>
    </xf>
    <xf numFmtId="0" fontId="46" fillId="0" borderId="0" xfId="10" applyFont="1" applyFill="1" applyBorder="1" applyAlignment="1">
      <alignment horizontal="center" vertical="center" wrapText="1"/>
    </xf>
    <xf numFmtId="0" fontId="46" fillId="0" borderId="0" xfId="10" applyFont="1" applyFill="1" applyBorder="1" applyAlignment="1">
      <alignment horizontal="left" vertical="center" wrapText="1"/>
    </xf>
    <xf numFmtId="4" fontId="46" fillId="0" borderId="0" xfId="10" applyNumberFormat="1" applyFont="1" applyFill="1" applyBorder="1" applyAlignment="1">
      <alignment horizontal="center" vertical="center" wrapText="1"/>
    </xf>
    <xf numFmtId="0" fontId="47" fillId="0" borderId="0" xfId="0" applyFont="1" applyFill="1" applyBorder="1" applyAlignment="1">
      <alignment horizontal="center" vertical="center"/>
    </xf>
    <xf numFmtId="44" fontId="47" fillId="0" borderId="0" xfId="7" applyFont="1" applyFill="1" applyBorder="1" applyAlignment="1">
      <alignment horizontal="center" vertical="center" wrapText="1"/>
    </xf>
    <xf numFmtId="0" fontId="38" fillId="2" borderId="0" xfId="0" applyFont="1" applyFill="1" applyBorder="1" applyAlignment="1">
      <alignment horizontal="center" vertical="center"/>
    </xf>
    <xf numFmtId="0" fontId="38" fillId="0" borderId="0" xfId="0" applyFont="1" applyBorder="1" applyAlignment="1">
      <alignment horizontal="center" vertical="center"/>
    </xf>
    <xf numFmtId="0" fontId="46" fillId="0" borderId="0" xfId="0" applyFont="1" applyFill="1" applyBorder="1" applyAlignment="1">
      <alignment horizontal="center" vertical="center" wrapText="1"/>
    </xf>
    <xf numFmtId="4" fontId="46" fillId="0" borderId="0" xfId="0" applyNumberFormat="1" applyFont="1" applyFill="1" applyBorder="1" applyAlignment="1">
      <alignment horizontal="center" vertical="center" wrapText="1"/>
    </xf>
    <xf numFmtId="44" fontId="47" fillId="0" borderId="0" xfId="7" applyFont="1" applyFill="1" applyBorder="1" applyAlignment="1">
      <alignment horizontal="center" vertical="center"/>
    </xf>
    <xf numFmtId="0" fontId="38" fillId="0" borderId="0" xfId="0" applyFont="1" applyBorder="1" applyAlignment="1">
      <alignment horizontal="center" vertical="center" wrapText="1"/>
    </xf>
    <xf numFmtId="44" fontId="38" fillId="0" borderId="0" xfId="7" applyFont="1" applyBorder="1" applyAlignment="1">
      <alignment horizontal="center" vertical="center" wrapText="1"/>
    </xf>
    <xf numFmtId="44" fontId="38" fillId="0" borderId="0" xfId="0" applyNumberFormat="1" applyFont="1" applyBorder="1" applyAlignment="1">
      <alignment horizontal="center" vertical="center"/>
    </xf>
    <xf numFmtId="44" fontId="38" fillId="2" borderId="0" xfId="7" applyFont="1" applyFill="1" applyBorder="1" applyAlignment="1">
      <alignment horizontal="center" vertical="center" wrapText="1"/>
    </xf>
    <xf numFmtId="4" fontId="46" fillId="14" borderId="3" xfId="10" applyNumberFormat="1" applyFont="1" applyFill="1" applyBorder="1" applyAlignment="1">
      <alignment horizontal="center" vertical="center"/>
    </xf>
    <xf numFmtId="44" fontId="46" fillId="14" borderId="3" xfId="7" applyFont="1" applyFill="1" applyBorder="1" applyAlignment="1">
      <alignment horizontal="center" vertical="center"/>
    </xf>
    <xf numFmtId="3" fontId="46" fillId="14" borderId="3" xfId="10" applyNumberFormat="1" applyFont="1" applyFill="1" applyBorder="1" applyAlignment="1">
      <alignment horizontal="center" vertical="center"/>
    </xf>
    <xf numFmtId="0" fontId="45" fillId="16" borderId="3" xfId="0" applyFont="1" applyFill="1" applyBorder="1" applyAlignment="1">
      <alignment horizontal="center" vertical="center"/>
    </xf>
    <xf numFmtId="4" fontId="46" fillId="16" borderId="3" xfId="10" applyNumberFormat="1" applyFont="1" applyFill="1" applyBorder="1" applyAlignment="1">
      <alignment horizontal="center" vertical="center"/>
    </xf>
    <xf numFmtId="0" fontId="45" fillId="16" borderId="3" xfId="0" applyFont="1" applyFill="1" applyBorder="1" applyAlignment="1">
      <alignment horizontal="center" vertical="center" wrapText="1"/>
    </xf>
    <xf numFmtId="44" fontId="45" fillId="16" borderId="3" xfId="7" applyFont="1" applyFill="1" applyBorder="1" applyAlignment="1">
      <alignment horizontal="center" vertical="center" wrapText="1"/>
    </xf>
    <xf numFmtId="0" fontId="23" fillId="0" borderId="6" xfId="0" applyFont="1" applyBorder="1"/>
    <xf numFmtId="165" fontId="16" fillId="0" borderId="0" xfId="0" applyNumberFormat="1" applyFont="1"/>
    <xf numFmtId="2" fontId="48" fillId="0" borderId="0" xfId="0" applyNumberFormat="1" applyFont="1" applyAlignment="1">
      <alignment horizontal="center" vertical="center" wrapText="1"/>
    </xf>
    <xf numFmtId="0" fontId="49" fillId="0" borderId="0" xfId="0" applyFont="1"/>
    <xf numFmtId="0" fontId="50" fillId="0" borderId="0" xfId="0" applyFont="1" applyAlignment="1">
      <alignment horizontal="center" vertical="center"/>
    </xf>
    <xf numFmtId="0" fontId="18" fillId="0" borderId="9" xfId="0" applyFont="1" applyBorder="1" applyAlignment="1">
      <alignment horizontal="center" vertical="center" wrapText="1"/>
    </xf>
    <xf numFmtId="2" fontId="18" fillId="0" borderId="0" xfId="7" applyNumberFormat="1" applyFont="1" applyBorder="1" applyAlignment="1">
      <alignment horizontal="center" vertical="center"/>
    </xf>
    <xf numFmtId="2" fontId="18" fillId="0" borderId="0" xfId="0" applyNumberFormat="1" applyFont="1" applyBorder="1" applyAlignment="1">
      <alignment horizontal="center" vertical="center"/>
    </xf>
    <xf numFmtId="44" fontId="16" fillId="0" borderId="6" xfId="7" applyFont="1" applyBorder="1" applyAlignment="1">
      <alignment horizontal="center" vertical="center"/>
    </xf>
    <xf numFmtId="4" fontId="46" fillId="17" borderId="3" xfId="10" applyNumberFormat="1" applyFont="1" applyFill="1" applyBorder="1" applyAlignment="1">
      <alignment horizontal="center" vertical="center"/>
    </xf>
    <xf numFmtId="44" fontId="46" fillId="17" borderId="3" xfId="7" applyFont="1" applyFill="1" applyBorder="1" applyAlignment="1">
      <alignment horizontal="center" vertical="center"/>
    </xf>
    <xf numFmtId="3" fontId="46" fillId="17" borderId="3" xfId="10" applyNumberFormat="1" applyFont="1" applyFill="1" applyBorder="1" applyAlignment="1">
      <alignment horizontal="center" vertical="center"/>
    </xf>
    <xf numFmtId="0" fontId="39" fillId="15" borderId="3" xfId="0" applyFont="1" applyFill="1" applyBorder="1" applyAlignment="1">
      <alignment horizontal="center" vertical="center"/>
    </xf>
    <xf numFmtId="4" fontId="39" fillId="15" borderId="3" xfId="10" applyNumberFormat="1" applyFont="1" applyFill="1" applyBorder="1" applyAlignment="1">
      <alignment horizontal="center" vertical="center"/>
    </xf>
    <xf numFmtId="0" fontId="39" fillId="15" borderId="3" xfId="0" applyFont="1" applyFill="1" applyBorder="1" applyAlignment="1">
      <alignment horizontal="center" vertical="center" wrapText="1"/>
    </xf>
    <xf numFmtId="44" fontId="39" fillId="15" borderId="3" xfId="7" applyFont="1" applyFill="1" applyBorder="1" applyAlignment="1">
      <alignment horizontal="center" vertical="center" wrapText="1"/>
    </xf>
    <xf numFmtId="0" fontId="39" fillId="0" borderId="0" xfId="0" applyFont="1" applyFill="1" applyBorder="1" applyAlignment="1">
      <alignment horizontal="center" vertical="center" wrapText="1"/>
    </xf>
    <xf numFmtId="0" fontId="51" fillId="0" borderId="0" xfId="0" applyFont="1" applyFill="1" applyBorder="1" applyAlignment="1">
      <alignment horizontal="center" vertical="center"/>
    </xf>
    <xf numFmtId="4" fontId="39" fillId="0" borderId="0" xfId="0" applyNumberFormat="1" applyFont="1" applyFill="1" applyBorder="1" applyAlignment="1">
      <alignment horizontal="center" vertical="center" wrapText="1"/>
    </xf>
    <xf numFmtId="44" fontId="39" fillId="0" borderId="0" xfId="7" applyFont="1" applyFill="1" applyBorder="1" applyAlignment="1">
      <alignment horizontal="center" vertical="center" wrapText="1"/>
    </xf>
    <xf numFmtId="44" fontId="51" fillId="0" borderId="0" xfId="7" applyFont="1" applyFill="1" applyBorder="1" applyAlignment="1">
      <alignment horizontal="center" vertical="center"/>
    </xf>
    <xf numFmtId="0" fontId="39" fillId="15" borderId="0" xfId="12" applyFont="1" applyFill="1" applyBorder="1" applyAlignment="1">
      <alignment horizontal="center" vertical="center" wrapText="1"/>
    </xf>
    <xf numFmtId="44" fontId="39" fillId="15" borderId="0" xfId="7" applyFont="1" applyFill="1" applyBorder="1" applyAlignment="1">
      <alignment horizontal="center" vertical="center" wrapText="1"/>
    </xf>
    <xf numFmtId="0" fontId="45" fillId="0" borderId="21" xfId="0" applyFont="1" applyFill="1" applyBorder="1" applyAlignment="1">
      <alignment horizontal="center" vertical="center" wrapText="1"/>
    </xf>
    <xf numFmtId="0" fontId="45" fillId="0" borderId="21" xfId="0" applyFont="1" applyFill="1" applyBorder="1" applyAlignment="1">
      <alignment horizontal="left" vertical="center" wrapText="1"/>
    </xf>
    <xf numFmtId="2" fontId="45" fillId="0" borderId="21" xfId="0" applyNumberFormat="1" applyFont="1" applyFill="1" applyBorder="1" applyAlignment="1">
      <alignment horizontal="center" vertical="center" wrapText="1"/>
    </xf>
    <xf numFmtId="0" fontId="45" fillId="0" borderId="0" xfId="0" applyFont="1" applyFill="1" applyBorder="1" applyAlignment="1">
      <alignment horizontal="center" vertical="center" wrapText="1"/>
    </xf>
    <xf numFmtId="0" fontId="0" fillId="2" borderId="0" xfId="0" applyFont="1" applyFill="1" applyAlignment="1">
      <alignment wrapText="1"/>
    </xf>
    <xf numFmtId="44" fontId="0" fillId="2" borderId="0" xfId="7" applyFont="1" applyFill="1" applyAlignment="1">
      <alignment wrapText="1"/>
    </xf>
    <xf numFmtId="0" fontId="45" fillId="0" borderId="0" xfId="0" applyFont="1" applyFill="1" applyBorder="1" applyAlignment="1">
      <alignment horizontal="left" vertical="center" wrapText="1"/>
    </xf>
    <xf numFmtId="2" fontId="38" fillId="0" borderId="0" xfId="0" applyNumberFormat="1" applyFont="1" applyFill="1" applyBorder="1" applyAlignment="1">
      <alignment horizontal="center" vertical="center" wrapText="1"/>
    </xf>
    <xf numFmtId="44" fontId="38" fillId="0" borderId="0" xfId="0" applyNumberFormat="1" applyFont="1" applyFill="1" applyBorder="1" applyAlignment="1">
      <alignment horizontal="center" vertical="center" wrapText="1"/>
    </xf>
    <xf numFmtId="44" fontId="38" fillId="0" borderId="0" xfId="8" applyNumberFormat="1" applyFont="1" applyFill="1" applyBorder="1" applyAlignment="1">
      <alignment horizontal="center" vertical="center" wrapText="1"/>
    </xf>
    <xf numFmtId="10" fontId="38" fillId="0" borderId="0" xfId="8" applyNumberFormat="1" applyFont="1" applyFill="1" applyBorder="1" applyAlignment="1">
      <alignment horizontal="center" vertical="center" wrapText="1"/>
    </xf>
    <xf numFmtId="164" fontId="38" fillId="2" borderId="0" xfId="0" applyNumberFormat="1" applyFont="1" applyFill="1" applyBorder="1" applyAlignment="1">
      <alignment horizontal="center" vertical="center" wrapText="1"/>
    </xf>
    <xf numFmtId="0" fontId="38" fillId="2" borderId="0" xfId="0" applyFont="1" applyFill="1" applyBorder="1" applyAlignment="1">
      <alignment horizontal="left" vertical="center" wrapText="1"/>
    </xf>
    <xf numFmtId="2" fontId="38" fillId="2" borderId="0" xfId="0" applyNumberFormat="1" applyFont="1" applyFill="1" applyBorder="1" applyAlignment="1">
      <alignment horizontal="center" vertical="center" wrapText="1"/>
    </xf>
    <xf numFmtId="8" fontId="38" fillId="2" borderId="0" xfId="0" applyNumberFormat="1" applyFont="1" applyFill="1" applyBorder="1" applyAlignment="1">
      <alignment horizontal="center" vertical="center" wrapText="1"/>
    </xf>
    <xf numFmtId="0" fontId="38" fillId="2" borderId="0" xfId="0" applyFont="1" applyFill="1" applyBorder="1" applyAlignment="1">
      <alignment horizontal="left" vertical="center"/>
    </xf>
    <xf numFmtId="44" fontId="38" fillId="0" borderId="0" xfId="7" applyFont="1" applyFill="1" applyBorder="1" applyAlignment="1">
      <alignment horizontal="center" vertical="center" wrapText="1"/>
    </xf>
    <xf numFmtId="0" fontId="52" fillId="2" borderId="0" xfId="0" applyFont="1" applyFill="1" applyBorder="1" applyAlignment="1">
      <alignment horizontal="left" vertical="center"/>
    </xf>
    <xf numFmtId="0" fontId="53" fillId="0" borderId="0" xfId="0" applyFont="1" applyAlignment="1">
      <alignment horizontal="center" vertical="center" wrapText="1"/>
    </xf>
    <xf numFmtId="0" fontId="54" fillId="0" borderId="0" xfId="0" applyFont="1"/>
    <xf numFmtId="0" fontId="54" fillId="0" borderId="0" xfId="0" applyFont="1" applyAlignment="1">
      <alignment wrapText="1"/>
    </xf>
    <xf numFmtId="0" fontId="54" fillId="0" borderId="0" xfId="0" applyFont="1" applyAlignment="1">
      <alignment horizontal="center" vertical="center"/>
    </xf>
    <xf numFmtId="2" fontId="54" fillId="0" borderId="0" xfId="0" applyNumberFormat="1" applyFont="1" applyAlignment="1">
      <alignment horizontal="center" vertical="center"/>
    </xf>
    <xf numFmtId="2" fontId="54" fillId="8" borderId="0" xfId="0" applyNumberFormat="1" applyFont="1" applyFill="1" applyAlignment="1">
      <alignment horizontal="center" vertical="center"/>
    </xf>
    <xf numFmtId="165" fontId="54" fillId="0" borderId="0" xfId="7" applyNumberFormat="1" applyFont="1"/>
    <xf numFmtId="44" fontId="54" fillId="0" borderId="0" xfId="7" applyFont="1"/>
    <xf numFmtId="2" fontId="55" fillId="12" borderId="0" xfId="13" applyNumberFormat="1" applyFont="1" applyAlignment="1">
      <alignment horizontal="center" vertical="center"/>
    </xf>
    <xf numFmtId="2" fontId="54" fillId="7" borderId="0" xfId="0" applyNumberFormat="1" applyFont="1" applyFill="1" applyAlignment="1">
      <alignment horizontal="center" vertical="center"/>
    </xf>
    <xf numFmtId="2" fontId="54" fillId="8" borderId="0" xfId="0" applyNumberFormat="1" applyFont="1" applyFill="1" applyBorder="1" applyAlignment="1">
      <alignment horizontal="center" vertical="center"/>
    </xf>
    <xf numFmtId="0" fontId="55" fillId="0" borderId="0" xfId="0" applyFont="1" applyAlignment="1">
      <alignment wrapText="1"/>
    </xf>
    <xf numFmtId="0" fontId="53" fillId="0" borderId="0" xfId="0" applyFont="1"/>
    <xf numFmtId="0" fontId="53" fillId="0" borderId="0" xfId="0" applyFont="1" applyAlignment="1">
      <alignment wrapText="1"/>
    </xf>
    <xf numFmtId="0" fontId="53" fillId="0" borderId="0" xfId="0" applyFont="1" applyAlignment="1">
      <alignment horizontal="center" vertical="center"/>
    </xf>
    <xf numFmtId="2" fontId="53" fillId="0" borderId="0" xfId="0" applyNumberFormat="1" applyFont="1" applyAlignment="1">
      <alignment horizontal="center" vertical="center"/>
    </xf>
    <xf numFmtId="44" fontId="53" fillId="0" borderId="0" xfId="0" applyNumberFormat="1" applyFont="1"/>
    <xf numFmtId="2" fontId="18" fillId="0" borderId="6" xfId="0" applyNumberFormat="1" applyFont="1" applyBorder="1" applyAlignment="1">
      <alignment horizontal="center" vertical="center"/>
    </xf>
    <xf numFmtId="44" fontId="23" fillId="0" borderId="6" xfId="7" applyFont="1" applyBorder="1" applyAlignment="1">
      <alignment horizontal="center" vertical="center"/>
    </xf>
    <xf numFmtId="2" fontId="29" fillId="7" borderId="0" xfId="0" applyNumberFormat="1" applyFont="1" applyFill="1" applyBorder="1" applyAlignment="1">
      <alignment horizontal="center" wrapText="1"/>
    </xf>
    <xf numFmtId="44" fontId="34" fillId="0" borderId="26" xfId="0" applyNumberFormat="1" applyFont="1" applyBorder="1"/>
    <xf numFmtId="2" fontId="0" fillId="0" borderId="0" xfId="0" applyNumberFormat="1"/>
    <xf numFmtId="0" fontId="40" fillId="13" borderId="0" xfId="0" applyFont="1" applyFill="1" applyAlignment="1">
      <alignment horizontal="center" vertical="center"/>
    </xf>
    <xf numFmtId="0" fontId="40" fillId="13" borderId="0" xfId="0" applyFont="1" applyFill="1" applyAlignment="1">
      <alignment horizontal="center" vertical="center" wrapText="1"/>
    </xf>
    <xf numFmtId="0" fontId="16" fillId="0" borderId="17" xfId="0" applyFont="1" applyBorder="1" applyAlignment="1">
      <alignment horizontal="center"/>
    </xf>
    <xf numFmtId="0" fontId="16" fillId="0" borderId="18" xfId="0" applyFont="1" applyBorder="1" applyAlignment="1">
      <alignment horizontal="center"/>
    </xf>
    <xf numFmtId="0" fontId="16" fillId="0" borderId="19" xfId="0" applyFont="1" applyBorder="1" applyAlignment="1">
      <alignment horizontal="center"/>
    </xf>
    <xf numFmtId="0" fontId="30" fillId="3" borderId="20" xfId="0" applyFont="1" applyFill="1" applyBorder="1" applyAlignment="1">
      <alignment horizontal="center" vertical="center" wrapText="1"/>
    </xf>
    <xf numFmtId="0" fontId="30" fillId="3" borderId="5" xfId="0" applyFont="1" applyFill="1" applyBorder="1" applyAlignment="1">
      <alignment horizontal="center" vertical="center" wrapText="1"/>
    </xf>
    <xf numFmtId="0" fontId="31" fillId="3" borderId="3" xfId="0" applyFont="1" applyFill="1" applyBorder="1" applyAlignment="1">
      <alignment horizontal="center" vertical="center"/>
    </xf>
    <xf numFmtId="0" fontId="31" fillId="3" borderId="3" xfId="1" applyFont="1" applyFill="1" applyBorder="1" applyAlignment="1">
      <alignment horizontal="center" vertical="center"/>
    </xf>
    <xf numFmtId="0" fontId="32" fillId="3" borderId="3" xfId="0" applyFont="1" applyFill="1" applyBorder="1" applyAlignment="1">
      <alignment horizontal="center" vertical="center" wrapText="1"/>
    </xf>
    <xf numFmtId="0" fontId="31" fillId="3" borderId="3" xfId="0" applyFont="1" applyFill="1" applyBorder="1" applyAlignment="1">
      <alignment horizontal="center" vertical="center" wrapText="1"/>
    </xf>
    <xf numFmtId="0" fontId="29" fillId="7" borderId="3" xfId="0" applyFont="1" applyFill="1" applyBorder="1" applyAlignment="1">
      <alignment horizontal="center" vertical="center" wrapText="1"/>
    </xf>
    <xf numFmtId="0" fontId="31" fillId="7" borderId="3" xfId="0" applyFont="1" applyFill="1" applyBorder="1" applyAlignment="1">
      <alignment horizontal="center" vertical="center" wrapText="1"/>
    </xf>
    <xf numFmtId="0" fontId="20" fillId="2" borderId="0" xfId="1" applyFont="1" applyFill="1" applyBorder="1" applyAlignment="1">
      <alignment horizontal="center" vertical="center"/>
    </xf>
    <xf numFmtId="0" fontId="23" fillId="0" borderId="12" xfId="0" applyFont="1" applyBorder="1" applyAlignment="1">
      <alignment horizontal="center" vertical="center"/>
    </xf>
    <xf numFmtId="0" fontId="23" fillId="0" borderId="13" xfId="0" applyFont="1" applyBorder="1" applyAlignment="1">
      <alignment horizontal="center" vertical="center"/>
    </xf>
    <xf numFmtId="0" fontId="23" fillId="0" borderId="14" xfId="0" applyFont="1" applyBorder="1" applyAlignment="1">
      <alignment horizontal="center" vertical="center"/>
    </xf>
    <xf numFmtId="0" fontId="18" fillId="0" borderId="7" xfId="0" applyFont="1" applyBorder="1" applyAlignment="1">
      <alignment horizontal="center" vertical="center"/>
    </xf>
    <xf numFmtId="0" fontId="18" fillId="0" borderId="7" xfId="0" applyFont="1" applyBorder="1" applyAlignment="1">
      <alignment horizontal="center"/>
    </xf>
    <xf numFmtId="0" fontId="17" fillId="9" borderId="6" xfId="3" applyFont="1" applyFill="1" applyBorder="1" applyAlignment="1">
      <alignment horizontal="center" vertical="center" wrapText="1"/>
    </xf>
    <xf numFmtId="0" fontId="18" fillId="0" borderId="8" xfId="0" applyFont="1" applyBorder="1" applyAlignment="1">
      <alignment horizontal="left" vertical="center" wrapText="1"/>
    </xf>
    <xf numFmtId="0" fontId="18" fillId="0" borderId="9" xfId="0" applyFont="1" applyBorder="1" applyAlignment="1">
      <alignment horizontal="left" vertical="center" wrapText="1"/>
    </xf>
    <xf numFmtId="0" fontId="18" fillId="0" borderId="16" xfId="0" applyFont="1" applyBorder="1" applyAlignment="1">
      <alignment horizontal="center" vertical="center"/>
    </xf>
    <xf numFmtId="0" fontId="18" fillId="0" borderId="15" xfId="0" applyFont="1" applyBorder="1" applyAlignment="1">
      <alignment horizontal="center" vertical="center"/>
    </xf>
    <xf numFmtId="0" fontId="18" fillId="0" borderId="9" xfId="0" applyFont="1" applyBorder="1" applyAlignment="1">
      <alignment horizontal="center" vertical="center"/>
    </xf>
    <xf numFmtId="0" fontId="17" fillId="9" borderId="6" xfId="3" applyFont="1" applyFill="1" applyBorder="1" applyAlignment="1">
      <alignment horizontal="center" vertical="center"/>
    </xf>
    <xf numFmtId="0" fontId="17" fillId="9" borderId="7" xfId="3" applyFont="1" applyFill="1" applyBorder="1" applyAlignment="1">
      <alignment horizontal="center" vertical="center"/>
    </xf>
    <xf numFmtId="0" fontId="18" fillId="0" borderId="8" xfId="0" applyFont="1" applyBorder="1" applyAlignment="1">
      <alignment horizontal="left"/>
    </xf>
    <xf numFmtId="0" fontId="18" fillId="0" borderId="10" xfId="0" applyFont="1" applyBorder="1" applyAlignment="1">
      <alignment horizontal="left"/>
    </xf>
    <xf numFmtId="0" fontId="18" fillId="0" borderId="9" xfId="0" applyFont="1" applyBorder="1" applyAlignment="1">
      <alignment horizontal="left"/>
    </xf>
    <xf numFmtId="0" fontId="18" fillId="0" borderId="8" xfId="0" applyFont="1" applyBorder="1" applyAlignment="1">
      <alignment horizontal="center" vertical="center"/>
    </xf>
    <xf numFmtId="0" fontId="18" fillId="0" borderId="15" xfId="0" applyFont="1" applyBorder="1" applyAlignment="1">
      <alignment horizontal="left"/>
    </xf>
    <xf numFmtId="0" fontId="20" fillId="2" borderId="7" xfId="0" applyFont="1" applyFill="1" applyBorder="1" applyAlignment="1">
      <alignment horizontal="center" vertical="center"/>
    </xf>
    <xf numFmtId="0" fontId="18" fillId="2" borderId="0" xfId="0" applyFont="1" applyFill="1" applyBorder="1" applyAlignment="1">
      <alignment horizontal="center" vertical="center" wrapText="1"/>
    </xf>
    <xf numFmtId="0" fontId="15" fillId="0" borderId="12" xfId="0" applyFont="1" applyBorder="1" applyAlignment="1">
      <alignment horizontal="center"/>
    </xf>
    <xf numFmtId="0" fontId="15" fillId="0" borderId="13" xfId="0" applyFont="1" applyBorder="1" applyAlignment="1">
      <alignment horizontal="center"/>
    </xf>
    <xf numFmtId="0" fontId="15" fillId="0" borderId="14" xfId="0" applyFont="1" applyBorder="1" applyAlignment="1">
      <alignment horizontal="center"/>
    </xf>
    <xf numFmtId="0" fontId="18" fillId="0" borderId="0" xfId="0" applyFont="1" applyBorder="1" applyAlignment="1">
      <alignment horizontal="center" vertical="center"/>
    </xf>
    <xf numFmtId="0" fontId="23" fillId="0" borderId="7" xfId="0" applyFont="1" applyBorder="1" applyAlignment="1">
      <alignment horizontal="center" vertical="center"/>
    </xf>
    <xf numFmtId="0" fontId="20" fillId="10" borderId="3" xfId="0" applyFont="1" applyFill="1" applyBorder="1" applyAlignment="1">
      <alignment horizontal="center" vertical="center"/>
    </xf>
    <xf numFmtId="0" fontId="18" fillId="0" borderId="12" xfId="0" applyFont="1" applyBorder="1" applyAlignment="1">
      <alignment horizontal="center"/>
    </xf>
    <xf numFmtId="0" fontId="18" fillId="0" borderId="13" xfId="0" applyFont="1" applyBorder="1" applyAlignment="1">
      <alignment horizontal="center"/>
    </xf>
    <xf numFmtId="0" fontId="18" fillId="0" borderId="14" xfId="0" applyFont="1" applyBorder="1" applyAlignment="1">
      <alignment horizontal="center"/>
    </xf>
    <xf numFmtId="44" fontId="34" fillId="0" borderId="26" xfId="7" applyFont="1" applyBorder="1"/>
    <xf numFmtId="2" fontId="56" fillId="0" borderId="0" xfId="0" applyNumberFormat="1" applyFont="1" applyAlignment="1">
      <alignment wrapText="1"/>
    </xf>
    <xf numFmtId="0" fontId="56" fillId="0" borderId="0" xfId="0" applyFont="1" applyAlignment="1">
      <alignment horizontal="center" vertical="center" wrapText="1"/>
    </xf>
    <xf numFmtId="175" fontId="56" fillId="0" borderId="0" xfId="0" applyNumberFormat="1" applyFont="1" applyAlignment="1">
      <alignment wrapText="1"/>
    </xf>
    <xf numFmtId="0" fontId="56" fillId="0" borderId="0" xfId="0" applyFont="1" applyAlignment="1">
      <alignment horizontal="left" wrapText="1"/>
    </xf>
    <xf numFmtId="44" fontId="56" fillId="0" borderId="0" xfId="0" applyNumberFormat="1" applyFont="1" applyAlignment="1">
      <alignment horizontal="center" vertical="center" wrapText="1"/>
    </xf>
    <xf numFmtId="44" fontId="56" fillId="0" borderId="0" xfId="0" applyNumberFormat="1" applyFont="1" applyAlignment="1">
      <alignment wrapText="1"/>
    </xf>
    <xf numFmtId="0" fontId="56" fillId="0" borderId="0" xfId="0" applyFont="1" applyAlignment="1">
      <alignment horizontal="left" wrapText="1" indent="1"/>
    </xf>
    <xf numFmtId="0" fontId="56" fillId="0" borderId="0" xfId="0" pivotButton="1" applyFont="1" applyAlignment="1">
      <alignment horizontal="center" vertical="center" wrapText="1"/>
    </xf>
    <xf numFmtId="2" fontId="56" fillId="0" borderId="0" xfId="0" applyNumberFormat="1" applyFont="1" applyAlignment="1">
      <alignment horizontal="center" vertical="center" wrapText="1"/>
    </xf>
    <xf numFmtId="175" fontId="56" fillId="0" borderId="0" xfId="0" applyNumberFormat="1" applyFont="1" applyAlignment="1">
      <alignment horizontal="center" vertical="center" wrapText="1"/>
    </xf>
    <xf numFmtId="14" fontId="34" fillId="0" borderId="26" xfId="0" applyNumberFormat="1" applyFont="1" applyBorder="1" applyAlignment="1">
      <alignment horizontal="center" vertical="center"/>
    </xf>
    <xf numFmtId="17" fontId="34" fillId="0" borderId="26" xfId="0" applyNumberFormat="1" applyFont="1" applyBorder="1" applyAlignment="1">
      <alignment horizontal="center" vertical="center"/>
    </xf>
  </cellXfs>
  <cellStyles count="14">
    <cellStyle name="20% - Ênfase6" xfId="13" builtinId="50"/>
    <cellStyle name="Cálculo" xfId="10" builtinId="22"/>
    <cellStyle name="Ênfase1" xfId="11" builtinId="29"/>
    <cellStyle name="Hiperlink" xfId="2" builtinId="8"/>
    <cellStyle name="Moeda" xfId="7" builtinId="4"/>
    <cellStyle name="Neutro" xfId="12" builtinId="28"/>
    <cellStyle name="Normal" xfId="0" builtinId="0"/>
    <cellStyle name="Normal 2" xfId="1" xr:uid="{00000000-0005-0000-0000-000007000000}"/>
    <cellStyle name="Normal 2 2" xfId="4" xr:uid="{00000000-0005-0000-0000-000008000000}"/>
    <cellStyle name="Normal 3" xfId="3" xr:uid="{00000000-0005-0000-0000-000009000000}"/>
    <cellStyle name="Normal 4" xfId="9" xr:uid="{00000000-0005-0000-0000-00000A000000}"/>
    <cellStyle name="Porcentagem" xfId="8" builtinId="5"/>
    <cellStyle name="Porcentagem 2" xfId="6" xr:uid="{00000000-0005-0000-0000-00000C000000}"/>
    <cellStyle name="Vírgula 2" xfId="5" xr:uid="{00000000-0005-0000-0000-00000D000000}"/>
  </cellStyles>
  <dxfs count="1690">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font>
        <b val="0"/>
        <i val="0"/>
        <strike val="0"/>
        <condense val="0"/>
        <extend val="0"/>
        <outline val="0"/>
        <shadow val="0"/>
        <u val="none"/>
        <vertAlign val="baseline"/>
        <sz val="10"/>
        <color theme="0"/>
        <name val="Times New Roman"/>
        <family val="1"/>
        <scheme val="none"/>
      </font>
      <border diagonalUp="0" diagonalDown="0" outline="0">
        <left/>
        <right style="thin">
          <color theme="9"/>
        </right>
        <top/>
        <bottom/>
      </border>
    </dxf>
    <dxf>
      <font>
        <b val="0"/>
        <i val="0"/>
        <strike val="0"/>
        <condense val="0"/>
        <extend val="0"/>
        <outline val="0"/>
        <shadow val="0"/>
        <u val="none"/>
        <vertAlign val="baseline"/>
        <sz val="10"/>
        <color theme="0"/>
        <name val="Times New Roman"/>
        <family val="1"/>
        <scheme val="none"/>
      </font>
      <alignment horizontal="center"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0"/>
        <name val="Times New Roman"/>
        <family val="1"/>
        <scheme val="none"/>
      </font>
      <alignment horizontal="center" vertical="center"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0"/>
        <name val="Times New Roman"/>
        <family val="1"/>
        <scheme val="none"/>
      </font>
      <alignment horizontal="general" vertical="bottom" textRotation="0" wrapText="1" indent="0" justifyLastLine="0" shrinkToFit="0" readingOrder="0"/>
      <border diagonalUp="0" diagonalDown="0" outline="0">
        <left/>
        <right/>
        <top/>
        <bottom/>
      </border>
    </dxf>
    <dxf>
      <font>
        <b val="0"/>
        <i val="0"/>
        <strike val="0"/>
        <condense val="0"/>
        <extend val="0"/>
        <outline val="0"/>
        <shadow val="0"/>
        <u val="none"/>
        <vertAlign val="baseline"/>
        <sz val="10"/>
        <color theme="0"/>
        <name val="Times New Roman"/>
        <family val="1"/>
        <scheme val="none"/>
      </font>
      <border diagonalUp="0" diagonalDown="0" outline="0">
        <left style="thin">
          <color theme="9"/>
        </left>
        <right/>
        <top/>
        <bottom/>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alignment wrapText="1" readingOrder="0"/>
    </dxf>
    <dxf>
      <alignment wrapText="1" readingOrder="0"/>
    </dxf>
    <dxf>
      <alignment wrapText="1" readingOrder="0"/>
    </dxf>
    <dxf>
      <alignment wrapText="1" readingOrder="0"/>
    </dxf>
    <dxf>
      <alignment wrapText="1" readingOrder="0"/>
    </dxf>
    <dxf>
      <alignment wrapText="1"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horizontal="center" readingOrder="0"/>
    </dxf>
    <dxf>
      <alignment horizontal="center" readingOrder="0"/>
    </dxf>
    <dxf>
      <alignment vertical="center" readingOrder="0"/>
    </dxf>
    <dxf>
      <alignment vertical="center" readingOrder="0"/>
    </dxf>
    <dxf>
      <numFmt numFmtId="34" formatCode="_-&quot;R$&quot;\ * #,##0.00_-;\-&quot;R$&quot;\ * #,##0.00_-;_-&quot;R$&quot;\ * &quot;-&quot;??_-;_-@_-"/>
    </dxf>
    <dxf>
      <numFmt numFmtId="2" formatCode="0.00"/>
    </dxf>
    <dxf>
      <numFmt numFmtId="2" formatCode="0.00"/>
    </dxf>
    <dxf>
      <numFmt numFmtId="2" formatCode="0.00"/>
    </dxf>
    <dxf>
      <numFmt numFmtId="2" formatCode="0.00"/>
    </dxf>
    <dxf>
      <numFmt numFmtId="175" formatCode="[$-F400]h:mm:ss\ AM/PM"/>
    </dxf>
    <dxf>
      <numFmt numFmtId="175" formatCode="[$-F400]h:mm:ss\ AM/PM"/>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alignment horizontal="center" readingOrder="0"/>
    </dxf>
    <dxf>
      <alignment horizontal="center" readingOrder="0"/>
    </dxf>
    <dxf>
      <alignment vertical="center" readingOrder="0"/>
    </dxf>
    <dxf>
      <alignment vertical="center" readingOrder="0"/>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numFmt numFmtId="34" formatCode="_-&quot;R$&quot;\ * #,##0.00_-;\-&quot;R$&quot;\ * #,##0.00_-;_-&quot;R$&quot;\ * &quot;-&quot;??_-;_-@_-"/>
    </dxf>
    <dxf>
      <numFmt numFmtId="34" formatCode="_-&quot;R$&quot;\ * #,##0.00_-;\-&quot;R$&quot;\ * #,##0.00_-;_-&quot;R$&quot;\ * &quot;-&quot;??_-;_-@_-"/>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border>
    </dxf>
    <dxf>
      <border>
        <left/>
      </border>
    </dxf>
    <dxf>
      <border>
        <left/>
      </border>
    </dxf>
    <dxf>
      <border>
        <left/>
      </border>
    </dxf>
    <dxf>
      <border>
        <left/>
      </border>
    </dxf>
    <dxf>
      <border>
        <left/>
      </border>
    </dxf>
    <dxf>
      <border>
        <left/>
      </border>
    </dxf>
    <dxf>
      <border>
        <left/>
      </border>
    </dxf>
    <dxf>
      <border>
        <left/>
      </border>
    </dxf>
    <dxf>
      <border>
        <left/>
      </border>
    </dxf>
    <dxf>
      <font>
        <strike val="0"/>
        <outline val="0"/>
        <shadow val="0"/>
        <u val="none"/>
        <vertAlign val="baseline"/>
        <sz val="10"/>
        <color auto="1"/>
        <name val="Times New Roman"/>
        <family val="1"/>
        <scheme val="none"/>
      </font>
      <numFmt numFmtId="165" formatCode="_-[$R$-416]\ * #,##0.00_-;\-[$R$-416]\ * #,##0.00_-;_-[$R$-416]\ * &quot;-&quot;??_-;_-@_-"/>
      <border diagonalUp="0" diagonalDown="0">
        <left/>
        <right style="thin">
          <color theme="9"/>
        </right>
        <top/>
        <bottom/>
        <vertical/>
        <horizontal/>
      </border>
    </dxf>
    <dxf>
      <fill>
        <patternFill>
          <bgColor theme="9" tint="0.59996337778862885"/>
        </patternFill>
      </fill>
    </dxf>
    <dxf>
      <font>
        <b val="0"/>
        <i val="0"/>
        <strike val="0"/>
        <condense val="0"/>
        <extend val="0"/>
        <outline val="0"/>
        <shadow val="0"/>
        <u val="none"/>
        <vertAlign val="baseline"/>
        <sz val="10"/>
        <color theme="1"/>
        <name val="Times New Roman"/>
        <family val="1"/>
        <scheme val="none"/>
      </font>
      <numFmt numFmtId="34" formatCode="_-&quot;R$&quot;\ * #,##0.00_-;\-&quot;R$&quot;\ * #,##0.00_-;_-&quot;R$&quot;\ * &quot;-&quot;??_-;_-@_-"/>
      <border diagonalUp="0" diagonalDown="0" outline="0">
        <left/>
        <right style="thin">
          <color theme="9"/>
        </right>
        <top/>
        <bottom/>
      </border>
    </dxf>
    <dxf>
      <font>
        <strike val="0"/>
        <outline val="0"/>
        <shadow val="0"/>
        <u val="none"/>
        <vertAlign val="baseline"/>
        <sz val="10"/>
        <color theme="1"/>
        <name val="Times New Roman"/>
        <family val="1"/>
        <scheme val="none"/>
      </font>
      <alignment horizontal="center" vertical="center" textRotation="0" wrapText="0" indent="0" justifyLastLine="0" shrinkToFit="0" readingOrder="0"/>
      <border diagonalUp="0" diagonalDown="0">
        <left/>
        <right style="thin">
          <color theme="9"/>
        </right>
        <top/>
        <bottom/>
        <vertical/>
        <horizontal/>
      </border>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0"/>
        <color theme="1"/>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border diagonalUp="0" diagonalDown="0" outline="0">
        <left style="thin">
          <color theme="9"/>
        </left>
        <right/>
        <top/>
        <bottom/>
      </border>
    </dxf>
    <dxf>
      <font>
        <strike val="0"/>
        <outline val="0"/>
        <shadow val="0"/>
        <u val="none"/>
        <vertAlign val="baseline"/>
        <sz val="10"/>
        <color theme="1"/>
        <name val="Times New Roman"/>
        <scheme val="none"/>
      </font>
      <alignment horizontal="center" vertical="center" textRotation="0" wrapText="0" indent="0" justifyLastLine="0" shrinkToFit="0" readingOrder="0"/>
    </dxf>
    <dxf>
      <font>
        <strike val="0"/>
        <outline val="0"/>
        <shadow val="0"/>
        <u val="none"/>
        <vertAlign val="baseline"/>
        <sz val="10"/>
        <name val="Times New Roman"/>
        <family val="1"/>
        <scheme val="none"/>
      </font>
      <alignment horizontal="center" vertical="center" textRotation="0" wrapText="0" indent="0" justifyLastLine="0" shrinkToFit="0" readingOrder="0"/>
      <border diagonalUp="0" diagonalDown="0">
        <left/>
        <right style="thin">
          <color theme="9"/>
        </right>
        <top/>
        <bottom/>
        <vertical/>
        <horizontal/>
      </border>
    </dxf>
    <dxf>
      <font>
        <b val="0"/>
        <i val="0"/>
        <strike val="0"/>
        <condense val="0"/>
        <extend val="0"/>
        <outline val="0"/>
        <shadow val="0"/>
        <u val="none"/>
        <vertAlign val="baseline"/>
        <sz val="10"/>
        <color theme="1"/>
        <name val="Times New Roman"/>
        <scheme val="none"/>
      </font>
      <numFmt numFmtId="170" formatCode="[h]:mm:ss;@"/>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70" formatCode="[h]:mm:ss;@"/>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170" formatCode="[h]:mm:ss;@"/>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70" formatCode="[h]:mm:ss;@"/>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solid">
          <fgColor indexed="64"/>
          <bgColor rgb="FFFFC000"/>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4"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4" formatCode="#,##0.00"/>
      <fill>
        <patternFill patternType="solid">
          <fgColor indexed="64"/>
          <bgColor rgb="FFFFC000"/>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4"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4" formatCode="#,##0.00"/>
      <fill>
        <patternFill patternType="solid">
          <fgColor indexed="64"/>
          <bgColor rgb="FFFFC000"/>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4" formatCode="#,##0.00"/>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4" formatCode="#,##0.00"/>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169" formatCode="_-&quot;R$&quot;\ * #,##0.00_-;\-&quot;R$&quot;\ * #,##0.00_-;_-&quot;R$&quot;\ * &quot;-&quot;?????????_-;_-@_-"/>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9" formatCode="_-&quot;R$&quot;\ * #,##0.00_-;\-&quot;R$&quot;\ * #,##0.00_-;_-&quot;R$&quot;\ *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169" formatCode="_-&quot;R$&quot;\ * #,##0.00_-;\-&quot;R$&quot;\ * #,##0.00_-;_-&quot;R$&quot;\ * &quot;-&quot;?????????_-;_-@_-"/>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9" formatCode="_-&quot;R$&quot;\ * #,##0.00_-;\-&quot;R$&quot;\ * #,##0.00_-;_-&quot;R$&quot;\ *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34" formatCode="_-&quot;R$&quot;\ * #,##0.00_-;\-&quot;R$&quot;\ * #,##0.00_-;_-&quot;R$&quot;\ *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2"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6" formatCode="0.000000000"/>
      <fill>
        <patternFill patternType="solid">
          <fgColor indexed="64"/>
          <bgColor rgb="FFFFC000"/>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6" formatCode="0.000000000"/>
      <fill>
        <patternFill patternType="solid">
          <fgColor indexed="64"/>
          <bgColor rgb="FFFFC000"/>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6" formatCode="0.000000000"/>
      <fill>
        <patternFill patternType="solid">
          <fgColor indexed="64"/>
          <bgColor rgb="FFFFC000"/>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solid">
          <fgColor indexed="64"/>
          <bgColor rgb="FFFFC000"/>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66" formatCode="0.000000000"/>
      <fill>
        <patternFill patternType="solid">
          <fgColor indexed="64"/>
          <bgColor rgb="FFFFC000"/>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166" formatCode="0.000000000"/>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171" formatCode="0.000"/>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171" formatCode="0.000"/>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167" formatCode="0.0000"/>
      <fill>
        <patternFill patternType="none">
          <fgColor indexed="64"/>
          <bgColor indexed="65"/>
        </patternFill>
      </fill>
      <alignment horizontal="general" vertical="center" textRotation="0" wrapText="0" indent="0" justifyLastLine="0" shrinkToFit="0" readingOrder="0"/>
    </dxf>
    <dxf>
      <font>
        <strike val="0"/>
        <outline val="0"/>
        <shadow val="0"/>
        <u val="none"/>
        <sz val="10"/>
        <name val="Times New Roman"/>
        <scheme val="none"/>
      </font>
      <numFmt numFmtId="167" formatCode="0.0000"/>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justify"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justify"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outline="0">
        <left/>
        <right/>
        <top style="thin">
          <color theme="5" tint="0.39997558519241921"/>
        </top>
        <bottom/>
      </border>
    </dxf>
    <dxf>
      <font>
        <strike val="0"/>
        <outline val="0"/>
        <shadow val="0"/>
        <u val="none"/>
        <sz val="10"/>
        <name val="Times New Roman"/>
        <scheme val="none"/>
      </font>
      <numFmt numFmtId="0" formatCode="General"/>
      <fill>
        <patternFill patternType="none">
          <fgColor indexed="64"/>
          <bgColor auto="1"/>
        </patternFill>
      </fill>
      <alignment vertical="center" textRotation="0" indent="0" justifyLastLine="0" shrinkToFit="0" readingOrder="0"/>
    </dxf>
    <dxf>
      <border outline="0">
        <left style="thin">
          <color theme="0"/>
        </left>
        <right style="thin">
          <color theme="0"/>
        </right>
        <top style="thin">
          <color theme="0"/>
        </top>
      </border>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dxf>
    <dxf>
      <font>
        <b/>
        <i val="0"/>
        <strike val="0"/>
        <condense val="0"/>
        <extend val="0"/>
        <outline val="0"/>
        <shadow val="0"/>
        <u val="none"/>
        <vertAlign val="baseline"/>
        <sz val="10"/>
        <color theme="0"/>
        <name val="Times New Roman"/>
        <scheme val="none"/>
      </font>
      <numFmt numFmtId="0" formatCode="General"/>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del"/>
        <scheme val="none"/>
      </font>
      <numFmt numFmtId="34" formatCode="_-&quot;R$&quot;\ * #,##0.00_-;\-&quot;R$&quot;\ * #,##0.00_-;_-&quot;R$&quot;\ * &quot;-&quot;??_-;_-@_-"/>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34" formatCode="_-&quot;R$&quot;\ * #,##0.00_-;\-&quot;R$&quot;\ * #,##0.00_-;_-&quot;R$&quot;\ * &quot;-&quot;??_-;_-@_-"/>
      <alignment horizontal="center" vertical="center" textRotation="0" wrapText="0" indent="0" justifyLastLine="0" shrinkToFit="0" readingOrder="0"/>
    </dxf>
    <dxf>
      <font>
        <strike val="0"/>
        <outline val="0"/>
        <shadow val="0"/>
        <u val="none"/>
        <vertAlign val="baseline"/>
        <sz val="10"/>
        <color theme="1"/>
        <name val="Cordel"/>
        <scheme val="none"/>
      </font>
      <numFmt numFmtId="34" formatCode="_-&quot;R$&quot;\ * #,##0.00_-;\-&quot;R$&quot;\ * #,##0.00_-;_-&quot;R$&quot;\ * &quot;-&quot;??_-;_-@_-"/>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numFmt numFmtId="14" formatCode="0.00%"/>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1"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1" indent="0" justifyLastLine="0" shrinkToFit="0" readingOrder="0"/>
    </dxf>
    <dxf>
      <font>
        <strike val="0"/>
        <outline val="0"/>
        <shadow val="0"/>
        <u val="none"/>
        <vertAlign val="baseline"/>
        <sz val="10"/>
        <color theme="1"/>
        <name val="Cordel"/>
        <scheme val="none"/>
      </font>
    </dxf>
    <dxf>
      <font>
        <strike val="0"/>
        <outline val="0"/>
        <shadow val="0"/>
        <u val="none"/>
        <vertAlign val="baseline"/>
        <sz val="10"/>
        <color theme="1"/>
        <name val="Cordel"/>
        <scheme val="none"/>
      </font>
    </dxf>
    <dxf>
      <font>
        <strike val="0"/>
        <outline val="0"/>
        <shadow val="0"/>
        <u val="none"/>
        <vertAlign val="baseline"/>
        <sz val="10"/>
        <color theme="1"/>
        <name val="Cordel"/>
        <scheme val="none"/>
      </font>
      <alignment horizontal="center" vertical="center" textRotation="0" indent="0" justifyLastLine="0" shrinkToFit="0" readingOrder="0"/>
    </dxf>
    <dxf>
      <font>
        <strike val="0"/>
        <outline val="0"/>
        <shadow val="0"/>
        <u val="none"/>
        <vertAlign val="baseline"/>
        <sz val="10"/>
        <color theme="1"/>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Cordel"/>
        <scheme val="none"/>
      </font>
      <numFmt numFmtId="34" formatCode="_-&quot;R$&quot;\ * #,##0.00_-;\-&quot;R$&quot;\ * #,##0.00_-;_-&quot;R$&quot;\ * &quot;-&quot;??_-;_-@_-"/>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34" formatCode="_-&quot;R$&quot;\ * #,##0.00_-;\-&quot;R$&quot;\ * #,##0.00_-;_-&quot;R$&quot;\ * &quot;-&quot;??_-;_-@_-"/>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numFmt numFmtId="14" formatCode="0.00%"/>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numFmt numFmtId="14" formatCode="0.00%"/>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0"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1" indent="0" justifyLastLine="0" shrinkToFit="0" readingOrder="0"/>
    </dxf>
    <dxf>
      <font>
        <strike val="0"/>
        <outline val="0"/>
        <shadow val="0"/>
        <u val="none"/>
        <vertAlign val="baseline"/>
        <sz val="10"/>
        <color theme="1"/>
        <name val="Cordel"/>
        <scheme val="none"/>
      </font>
    </dxf>
    <dxf>
      <font>
        <b val="0"/>
        <i val="0"/>
        <strike val="0"/>
        <condense val="0"/>
        <extend val="0"/>
        <outline val="0"/>
        <shadow val="0"/>
        <u val="none"/>
        <vertAlign val="baseline"/>
        <sz val="10"/>
        <color theme="1"/>
        <name val="Cordel"/>
        <scheme val="none"/>
      </font>
      <alignment horizontal="center" vertical="center" textRotation="0" wrapText="1" indent="0" justifyLastLine="0" shrinkToFit="0" readingOrder="0"/>
    </dxf>
    <dxf>
      <font>
        <strike val="0"/>
        <outline val="0"/>
        <shadow val="0"/>
        <u val="none"/>
        <vertAlign val="baseline"/>
        <sz val="10"/>
        <color theme="1"/>
        <name val="Cordel"/>
        <scheme val="none"/>
      </font>
    </dxf>
    <dxf>
      <font>
        <strike val="0"/>
        <outline val="0"/>
        <shadow val="0"/>
        <u val="none"/>
        <vertAlign val="baseline"/>
        <sz val="10"/>
        <color theme="1"/>
        <name val="Cordel"/>
        <scheme val="none"/>
      </font>
    </dxf>
    <dxf>
      <font>
        <strike val="0"/>
        <outline val="0"/>
        <shadow val="0"/>
        <u val="none"/>
        <vertAlign val="baseline"/>
        <sz val="10"/>
        <color theme="1"/>
        <name val="Cordel"/>
        <scheme val="none"/>
      </font>
      <alignment horizontal="center" vertical="center" textRotation="0" indent="0" justifyLastLine="0" shrinkToFit="0" readingOrder="0"/>
    </dxf>
    <dxf>
      <font>
        <strike val="0"/>
        <outline val="0"/>
        <shadow val="0"/>
        <u val="none"/>
        <vertAlign val="baseline"/>
        <sz val="10"/>
        <color theme="1"/>
        <name val="Cordel"/>
        <scheme val="none"/>
      </font>
      <alignment horizontal="center" vertical="center" textRotation="0" wrapText="1" indent="0" justifyLastLine="0" shrinkToFit="0" readingOrder="0"/>
    </dxf>
    <dxf>
      <border>
        <left/>
      </border>
    </dxf>
    <dxf>
      <border>
        <left/>
      </border>
    </dxf>
    <dxf>
      <border>
        <left/>
      </border>
    </dxf>
    <dxf>
      <border>
        <left/>
      </border>
    </dxf>
    <dxf>
      <border>
        <left/>
      </border>
    </dxf>
    <dxf>
      <border>
        <left/>
      </border>
    </dxf>
    <dxf>
      <border>
        <left/>
      </border>
    </dxf>
    <dxf>
      <border>
        <left/>
      </border>
    </dxf>
    <dxf>
      <border>
        <left/>
      </border>
    </dxf>
    <dxf>
      <border>
        <left/>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border>
        <left style="thin">
          <color theme="0"/>
        </left>
        <right style="thin">
          <color theme="0"/>
        </right>
        <top style="thin">
          <color theme="0"/>
        </top>
        <bottom style="thin">
          <color theme="0"/>
        </bottom>
        <vertical style="thin">
          <color theme="0"/>
        </vertical>
        <horizontal style="thin">
          <color theme="0"/>
        </horizontal>
      </border>
    </dxf>
    <dxf>
      <font>
        <b/>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numFmt numFmtId="34" formatCode="_-&quot;R$&quot;\ * #,##0.00_-;\-&quot;R$&quot;\ * #,##0.00_-;_-&quot;R$&quot;\ * &quot;-&quot;??_-;_-@_-"/>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ordel"/>
        <scheme val="none"/>
      </font>
      <numFmt numFmtId="2" formatCode="0.00"/>
      <alignment horizontal="center"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numFmt numFmtId="2"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0" indent="0" justifyLastLine="0" shrinkToFit="0" readingOrder="0"/>
    </dxf>
    <dxf>
      <font>
        <strike val="0"/>
        <outline val="0"/>
        <shadow val="0"/>
        <u val="none"/>
        <vertAlign val="baseline"/>
        <name val="Cordel"/>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Cordel"/>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name val="Cordel"/>
        <scheme val="none"/>
      </font>
    </dxf>
    <dxf>
      <font>
        <b val="0"/>
        <i val="0"/>
        <strike val="0"/>
        <condense val="0"/>
        <extend val="0"/>
        <outline val="0"/>
        <shadow val="0"/>
        <u val="none"/>
        <vertAlign val="baseline"/>
        <sz val="10"/>
        <color theme="1"/>
        <name val="Cordel"/>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border>
        <bottom style="thin">
          <color theme="5"/>
        </bottom>
      </border>
    </dxf>
    <dxf>
      <font>
        <strike val="0"/>
        <outline val="0"/>
        <shadow val="0"/>
        <u val="none"/>
        <vertAlign val="baseline"/>
        <name val="Cordel"/>
        <scheme val="none"/>
      </font>
      <alignment horizontal="center" vertical="center" textRotation="0" wrapText="0" indent="0" justifyLastLine="0" shrinkToFit="0" readingOrder="0"/>
      <border diagonalUp="0" diagonalDown="0" outline="0">
        <left style="thin">
          <color theme="5"/>
        </left>
        <right style="thin">
          <color theme="5"/>
        </right>
        <top/>
        <bottom/>
      </border>
    </dxf>
    <dxf>
      <font>
        <b val="0"/>
        <i val="0"/>
        <strike val="0"/>
        <condense val="0"/>
        <extend val="0"/>
        <outline val="0"/>
        <shadow val="0"/>
        <u val="none"/>
        <vertAlign val="baseline"/>
        <sz val="11"/>
        <color theme="1"/>
        <name val="Cordel"/>
        <scheme val="none"/>
      </font>
      <numFmt numFmtId="34" formatCode="_-&quot;R$&quot;\ * #,##0.00_-;\-&quot;R$&quot;\ * #,##0.00_-;_-&quot;R$&quot;\ * &quot;-&quot;??_-;_-@_-"/>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numFmt numFmtId="34" formatCode="_-&quot;R$&quot;\ * #,##0.00_-;\-&quot;R$&quot;\ * #,##0.00_-;_-&quot;R$&quot;\ * &quot;-&quot;??_-;_-@_-"/>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numFmt numFmtId="34" formatCode="_-&quot;R$&quot;\ * #,##0.00_-;\-&quot;R$&quot;\ * #,##0.00_-;_-&quot;R$&quot;\ * &quot;-&quot;??_-;_-@_-"/>
      <alignment horizontal="center" vertical="center" textRotation="0" wrapText="1" indent="0" justifyLastLine="0" shrinkToFit="0" readingOrder="0"/>
    </dxf>
    <dxf>
      <font>
        <strike val="0"/>
        <outline val="0"/>
        <shadow val="0"/>
        <u val="none"/>
        <vertAlign val="baseline"/>
        <name val="Cordel"/>
        <scheme val="none"/>
      </font>
      <numFmt numFmtId="34" formatCode="_-&quot;R$&quot;\ * #,##0.00_-;\-&quot;R$&quot;\ * #,##0.00_-;_-&quot;R$&quot;\ * &quot;-&quot;??_-;_-@_-"/>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numFmt numFmtId="2" formatCode="0.00"/>
      <alignment horizontal="center" vertical="center" textRotation="0" wrapText="1" indent="0" justifyLastLine="0" shrinkToFit="0" readingOrder="0"/>
    </dxf>
    <dxf>
      <font>
        <strike val="0"/>
        <outline val="0"/>
        <shadow val="0"/>
        <u val="none"/>
        <vertAlign val="baseline"/>
        <sz val="11"/>
        <color auto="1"/>
        <name val="Cordel"/>
        <scheme val="none"/>
      </font>
      <numFmt numFmtId="2" formatCode="0.00"/>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numFmt numFmtId="2" formatCode="0.00"/>
      <alignment horizontal="center" vertical="center" textRotation="0" wrapText="1" indent="0" justifyLastLine="0" shrinkToFit="0" readingOrder="0"/>
    </dxf>
    <dxf>
      <font>
        <strike val="0"/>
        <outline val="0"/>
        <shadow val="0"/>
        <u val="none"/>
        <vertAlign val="baseline"/>
        <name val="Cordel"/>
        <scheme val="none"/>
      </font>
      <numFmt numFmtId="2" formatCode="0.00"/>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Cordel"/>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name val="Cordel"/>
        <scheme val="none"/>
      </font>
      <alignment horizontal="center" vertical="center" textRotation="0" wrapText="1" indent="0" justifyLastLine="0" shrinkToFit="0" readingOrder="0"/>
    </dxf>
    <dxf>
      <font>
        <strike val="0"/>
        <outline val="0"/>
        <shadow val="0"/>
        <u val="none"/>
        <vertAlign val="baseline"/>
        <name val="Cordel"/>
        <scheme val="none"/>
      </font>
    </dxf>
    <dxf>
      <font>
        <strike val="0"/>
        <outline val="0"/>
        <shadow val="0"/>
        <u val="none"/>
        <vertAlign val="baseline"/>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alignment horizontal="center" vertical="center" textRotation="0" wrapText="0" indent="0" justifyLastLine="0" shrinkToFit="0" readingOrder="0"/>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dxf>
    <dxf>
      <font>
        <strike val="0"/>
        <outline val="0"/>
        <shadow val="0"/>
        <u val="none"/>
        <vertAlign val="baseline"/>
        <name val="Cordel"/>
        <scheme val="none"/>
      </font>
      <alignment horizontal="center" vertical="center" textRotation="0" wrapText="0" indent="0" justifyLastLine="0" shrinkToFit="0" readingOrder="0"/>
    </dxf>
    <dxf>
      <font>
        <strike val="0"/>
        <outline val="0"/>
        <shadow val="0"/>
        <u val="none"/>
        <vertAlign val="baseline"/>
        <sz val="11"/>
        <color theme="1"/>
        <name val="Cordel"/>
        <scheme val="none"/>
      </font>
    </dxf>
    <dxf>
      <font>
        <strike val="0"/>
        <outline val="0"/>
        <shadow val="0"/>
        <u val="none"/>
        <vertAlign val="baseline"/>
        <sz val="11"/>
        <color theme="1"/>
        <name val="Cordel"/>
        <scheme val="none"/>
      </font>
    </dxf>
    <dxf>
      <font>
        <strike val="0"/>
        <outline val="0"/>
        <shadow val="0"/>
        <u val="none"/>
        <vertAlign val="baseline"/>
        <sz val="11"/>
        <color theme="1"/>
        <name val="Cordel"/>
        <scheme val="none"/>
      </font>
    </dxf>
    <dxf>
      <font>
        <strike val="0"/>
        <outline val="0"/>
        <shadow val="0"/>
        <u val="none"/>
        <vertAlign val="baseline"/>
        <sz val="11"/>
        <color theme="1"/>
        <name val="Cordel"/>
        <scheme val="none"/>
      </font>
    </dxf>
    <dxf>
      <font>
        <b val="0"/>
        <i val="0"/>
        <strike val="0"/>
        <condense val="0"/>
        <extend val="0"/>
        <outline val="0"/>
        <shadow val="0"/>
        <u val="none"/>
        <vertAlign val="baseline"/>
        <sz val="10"/>
        <color theme="1"/>
        <name val="Cordel"/>
        <scheme val="none"/>
      </font>
      <numFmt numFmtId="34" formatCode="_-&quot;R$&quot;\ * #,##0.00_-;\-&quot;R$&quot;\ * #,##0.00_-;_-&quot;R$&quot;\ * &quot;-&quot;??_-;_-@_-"/>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fill>
        <patternFill patternType="solid">
          <fgColor indexed="64"/>
          <bgColor theme="0"/>
        </patternFill>
      </fill>
      <alignment horizontal="general" vertical="center" textRotation="0" wrapText="0" indent="0" justifyLastLine="0" shrinkToFit="0" readingOrder="0"/>
      <border diagonalUp="0" diagonalDown="0" outline="0">
        <left/>
        <right/>
        <top/>
        <bottom/>
      </border>
    </dxf>
    <dxf>
      <font>
        <strike val="0"/>
        <outline val="0"/>
        <shadow val="0"/>
        <u val="none"/>
        <vertAlign val="baseline"/>
        <sz val="10"/>
        <name val="Cordel"/>
        <scheme val="none"/>
      </font>
    </dxf>
    <dxf>
      <font>
        <strike val="0"/>
        <outline val="0"/>
        <shadow val="0"/>
        <u val="none"/>
        <vertAlign val="baseline"/>
        <sz val="10"/>
        <color theme="1"/>
        <name val="Cordel"/>
        <scheme val="none"/>
      </font>
    </dxf>
    <dxf>
      <border outline="0">
        <top style="thin">
          <color theme="5"/>
        </top>
      </border>
    </dxf>
    <dxf>
      <font>
        <strike val="0"/>
        <outline val="0"/>
        <shadow val="0"/>
        <u val="none"/>
        <vertAlign val="baseline"/>
        <sz val="10"/>
        <name val="Cordel"/>
        <scheme val="none"/>
      </font>
    </dxf>
    <dxf>
      <font>
        <strike val="0"/>
        <outline val="0"/>
        <shadow val="0"/>
        <u val="none"/>
        <vertAlign val="baseline"/>
        <sz val="10"/>
        <name val="Cordel"/>
        <scheme val="none"/>
      </font>
    </dxf>
    <dxf>
      <font>
        <b val="0"/>
        <i val="0"/>
        <strike val="0"/>
        <condense val="0"/>
        <extend val="0"/>
        <outline val="0"/>
        <shadow val="0"/>
        <u val="none"/>
        <vertAlign val="baseline"/>
        <sz val="10"/>
        <color theme="1"/>
        <name val="Cordel"/>
        <scheme val="none"/>
      </font>
      <numFmt numFmtId="34" formatCode="_-&quot;R$&quot;\ * #,##0.00_-;\-&quot;R$&quot;\ * #,##0.00_-;_-&quot;R$&quot;\ * &quot;-&quot;??_-;_-@_-"/>
    </dxf>
    <dxf>
      <font>
        <strike val="0"/>
        <outline val="0"/>
        <shadow val="0"/>
        <u val="none"/>
        <vertAlign val="baseline"/>
        <sz val="10"/>
        <color auto="1"/>
        <name val="Cordel"/>
        <scheme val="none"/>
      </font>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numFmt numFmtId="0" formatCode="General"/>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numFmt numFmtId="173" formatCode="0.0000%"/>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numFmt numFmtId="34" formatCode="_-&quot;R$&quot;\ * #,##0.00_-;\-&quot;R$&quot;\ * #,##0.00_-;_-&quot;R$&quot;\ * &quot;-&quot;??_-;_-@_-"/>
      <alignment horizontal="center" vertical="center" textRotation="0"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Cordel"/>
        <scheme val="none"/>
      </font>
    </dxf>
    <dxf>
      <font>
        <strike val="0"/>
        <outline val="0"/>
        <shadow val="0"/>
        <u val="none"/>
        <vertAlign val="baseline"/>
        <sz val="10"/>
        <color auto="1"/>
        <name val="Cordel"/>
        <scheme val="none"/>
      </font>
      <alignment horizontal="center" vertical="center" textRotation="0" wrapText="0" indent="0" justifyLastLine="0" shrinkToFit="0" readingOrder="0"/>
    </dxf>
    <dxf>
      <font>
        <strike val="0"/>
        <outline val="0"/>
        <shadow val="0"/>
        <u val="none"/>
        <vertAlign val="baseline"/>
        <sz val="10"/>
        <name val="Cordel"/>
        <scheme val="none"/>
      </font>
    </dxf>
    <dxf>
      <font>
        <strike val="0"/>
        <outline val="0"/>
        <shadow val="0"/>
        <u val="none"/>
        <vertAlign val="baseline"/>
        <sz val="10"/>
        <color auto="1"/>
        <name val="Cordel"/>
        <scheme val="none"/>
      </font>
      <alignment horizontal="center" vertical="center" textRotation="0" indent="0" justifyLastLine="0" shrinkToFit="0" readingOrder="0"/>
    </dxf>
    <dxf>
      <border>
        <bottom style="thin">
          <color theme="0"/>
        </bottom>
      </border>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numFmt numFmtId="34" formatCode="_-&quot;R$&quot;\ * #,##0.00_-;\-&quot;R$&quot;\ * #,##0.00_-;_-&quot;R$&quot;\ * &quot;-&quot;??_-;_-@_-"/>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numFmt numFmtId="165" formatCode="_-[$R$-416]\ * #,##0.00_-;\-[$R$-416]\ * #,##0.00_-;_-[$R$-416]\ * &quot;-&quot;??_-;_-@_-"/>
    </dxf>
    <dxf>
      <font>
        <strike val="0"/>
        <outline val="0"/>
        <shadow val="0"/>
        <u val="none"/>
        <vertAlign val="baseline"/>
        <sz val="10"/>
        <name val="Cordel"/>
        <scheme val="none"/>
      </font>
      <numFmt numFmtId="14" formatCode="0.00%"/>
    </dxf>
    <dxf>
      <font>
        <strike val="0"/>
        <outline val="0"/>
        <shadow val="0"/>
        <u val="none"/>
        <vertAlign val="baseline"/>
        <sz val="10"/>
        <name val="Cordel"/>
        <scheme val="none"/>
      </font>
      <numFmt numFmtId="34" formatCode="_-&quot;R$&quot;\ * #,##0.00_-;\-&quot;R$&quot;\ * #,##0.00_-;_-&quot;R$&quot;\ * &quot;-&quot;??_-;_-@_-"/>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alignment horizontal="center" vertical="center" textRotation="0" wrapText="0" indent="0" justifyLastLine="0" shrinkToFit="0" readingOrder="0"/>
    </dxf>
    <dxf>
      <font>
        <strike val="0"/>
        <outline val="0"/>
        <shadow val="0"/>
        <u val="none"/>
        <vertAlign val="baseline"/>
        <sz val="10"/>
        <name val="Cordel"/>
        <scheme val="none"/>
      </font>
      <numFmt numFmtId="14" formatCode="0.00%"/>
      <alignment horizontal="center" vertical="center" textRotation="0" wrapText="0" indent="0" justifyLastLine="0" shrinkToFit="0" readingOrder="0"/>
    </dxf>
    <dxf>
      <font>
        <strike val="0"/>
        <outline val="0"/>
        <shadow val="0"/>
        <u val="none"/>
        <vertAlign val="baseline"/>
        <sz val="10"/>
        <name val="Cordel"/>
        <scheme val="none"/>
      </font>
      <alignment horizontal="center" vertical="center" textRotation="0" wrapText="0" indent="0" justifyLastLine="0" shrinkToFit="0" readingOrder="0"/>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border diagonalUp="0" diagonalDown="0" outline="0">
        <left style="thin">
          <color theme="5"/>
        </left>
        <right/>
        <top style="thin">
          <color theme="5"/>
        </top>
        <bottom style="thin">
          <color theme="5"/>
        </bottom>
      </border>
    </dxf>
    <dxf>
      <font>
        <strike val="0"/>
        <outline val="0"/>
        <shadow val="0"/>
        <u val="none"/>
        <vertAlign val="baseline"/>
        <sz val="10"/>
        <name val="Cordel"/>
        <scheme val="none"/>
      </font>
      <border diagonalUp="0" diagonalDown="0" outline="0">
        <left style="thin">
          <color theme="5"/>
        </left>
        <right style="thin">
          <color theme="5"/>
        </right>
        <top style="thin">
          <color theme="5"/>
        </top>
        <bottom style="thin">
          <color theme="5"/>
        </bottom>
      </border>
    </dxf>
    <dxf>
      <font>
        <strike val="0"/>
        <outline val="0"/>
        <shadow val="0"/>
        <u val="none"/>
        <vertAlign val="baseline"/>
        <sz val="10"/>
        <name val="Cordel"/>
        <scheme val="none"/>
      </font>
      <border diagonalUp="0" diagonalDown="0" outline="0">
        <left style="thin">
          <color theme="5"/>
        </left>
        <right style="thin">
          <color theme="5"/>
        </right>
        <top style="thin">
          <color theme="5"/>
        </top>
        <bottom style="thin">
          <color theme="5"/>
        </bottom>
      </border>
    </dxf>
    <dxf>
      <font>
        <strike val="0"/>
        <outline val="0"/>
        <shadow val="0"/>
        <u val="none"/>
        <vertAlign val="baseline"/>
        <sz val="10"/>
        <name val="Cordel"/>
        <scheme val="none"/>
      </font>
      <border diagonalUp="0" diagonalDown="0" outline="0">
        <left/>
        <right style="thin">
          <color theme="5"/>
        </right>
        <top style="thin">
          <color theme="5"/>
        </top>
        <bottom style="thin">
          <color theme="5"/>
        </bottom>
      </border>
    </dxf>
    <dxf>
      <font>
        <strike val="0"/>
        <outline val="0"/>
        <shadow val="0"/>
        <u val="none"/>
        <vertAlign val="baseline"/>
        <sz val="10"/>
        <name val="Cordel"/>
        <scheme val="none"/>
      </font>
    </dxf>
    <dxf>
      <border>
        <bottom style="double">
          <color theme="5"/>
        </bottom>
      </border>
    </dxf>
    <dxf>
      <font>
        <strike val="0"/>
        <outline val="0"/>
        <shadow val="0"/>
        <u val="none"/>
        <vertAlign val="baseline"/>
        <sz val="10"/>
        <name val="Cordel"/>
        <scheme val="none"/>
      </font>
      <border diagonalUp="0" diagonalDown="0" outline="0">
        <left style="thin">
          <color theme="5"/>
        </left>
        <right style="thin">
          <color theme="5"/>
        </right>
        <top/>
        <bottom/>
      </border>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numFmt numFmtId="14" formatCode="0.00%"/>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border>
        <bottom style="double">
          <color theme="5"/>
        </bottom>
      </border>
    </dxf>
    <dxf>
      <font>
        <strike val="0"/>
        <outline val="0"/>
        <shadow val="0"/>
        <u val="none"/>
        <vertAlign val="baseline"/>
        <sz val="10"/>
        <name val="Cordel"/>
        <scheme val="none"/>
      </font>
      <border diagonalUp="0" diagonalDown="0">
        <left style="thin">
          <color theme="5"/>
        </left>
        <right style="thin">
          <color theme="5"/>
        </right>
        <top/>
        <bottom/>
        <vertical style="thin">
          <color theme="5"/>
        </vertical>
        <horizontal/>
      </border>
    </dxf>
    <dxf>
      <font>
        <strike val="0"/>
        <outline val="0"/>
        <shadow val="0"/>
        <u val="none"/>
        <vertAlign val="baseline"/>
        <sz val="10"/>
        <name val="Cordel"/>
        <scheme val="none"/>
      </font>
    </dxf>
    <dxf>
      <font>
        <strike val="0"/>
        <outline val="0"/>
        <shadow val="0"/>
        <u val="none"/>
        <vertAlign val="baseline"/>
        <sz val="10"/>
        <name val="Cordel"/>
        <scheme val="none"/>
      </font>
      <numFmt numFmtId="14" formatCode="0.00%"/>
    </dxf>
    <dxf>
      <font>
        <strike val="0"/>
        <outline val="0"/>
        <shadow val="0"/>
        <u val="none"/>
        <vertAlign val="baseline"/>
        <sz val="10"/>
        <name val="Cordel"/>
        <scheme val="none"/>
      </font>
    </dxf>
    <dxf>
      <font>
        <strike val="0"/>
        <outline val="0"/>
        <shadow val="0"/>
        <u val="none"/>
        <vertAlign val="baseline"/>
        <sz val="10"/>
        <name val="Cordel"/>
        <scheme val="none"/>
      </font>
    </dxf>
    <dxf>
      <border diagonalUp="0" diagonalDown="0">
        <right/>
        <top style="thin">
          <color theme="5"/>
        </top>
        <bottom style="double">
          <color theme="5"/>
        </bottom>
      </border>
    </dxf>
    <dxf>
      <font>
        <strike val="0"/>
        <outline val="0"/>
        <shadow val="0"/>
        <u val="none"/>
        <vertAlign val="baseline"/>
        <sz val="10"/>
        <name val="Cordel"/>
        <scheme val="none"/>
      </font>
    </dxf>
    <dxf>
      <font>
        <strike val="0"/>
        <outline val="0"/>
        <shadow val="0"/>
        <u val="none"/>
        <vertAlign val="baseline"/>
        <sz val="10"/>
        <name val="Cordel"/>
        <scheme val="none"/>
      </font>
      <alignment horizontal="center" vertical="center" textRotation="0" wrapText="0" indent="0" justifyLastLine="0" shrinkToFit="0" readingOrder="0"/>
    </dxf>
    <dxf>
      <font>
        <strike val="0"/>
        <outline val="0"/>
        <shadow val="0"/>
        <u val="none"/>
        <vertAlign val="baseline"/>
        <sz val="10"/>
        <name val="Cordel"/>
        <scheme val="none"/>
      </font>
    </dxf>
    <dxf>
      <font>
        <strike val="0"/>
        <outline val="0"/>
        <shadow val="0"/>
        <u val="none"/>
        <vertAlign val="baseline"/>
        <sz val="10"/>
        <name val="Cordel"/>
        <scheme val="none"/>
      </font>
      <numFmt numFmtId="14" formatCode="0.00%"/>
    </dxf>
    <dxf>
      <font>
        <strike val="0"/>
        <outline val="0"/>
        <shadow val="0"/>
        <u val="none"/>
        <vertAlign val="baseline"/>
        <sz val="10"/>
        <name val="Cordel"/>
        <scheme val="none"/>
      </font>
      <numFmt numFmtId="14" formatCode="0.00%"/>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border diagonalUp="0" diagonalDown="0" outline="0">
        <left style="thin">
          <color theme="5"/>
        </left>
        <right/>
        <top style="thin">
          <color theme="5"/>
        </top>
        <bottom style="thin">
          <color theme="5"/>
        </bottom>
      </border>
    </dxf>
    <dxf>
      <font>
        <strike val="0"/>
        <outline val="0"/>
        <shadow val="0"/>
        <u val="none"/>
        <vertAlign val="baseline"/>
        <sz val="10"/>
        <name val="Cordel"/>
        <scheme val="none"/>
      </font>
      <numFmt numFmtId="174" formatCode="0.000%"/>
      <border diagonalUp="0" diagonalDown="0">
        <left style="thin">
          <color theme="5"/>
        </left>
        <right style="thin">
          <color theme="5"/>
        </right>
        <top style="thin">
          <color theme="5"/>
        </top>
        <bottom style="thin">
          <color theme="5"/>
        </bottom>
      </border>
    </dxf>
    <dxf>
      <font>
        <strike val="0"/>
        <outline val="0"/>
        <shadow val="0"/>
        <u val="none"/>
        <vertAlign val="baseline"/>
        <sz val="10"/>
        <name val="Cordel"/>
        <scheme val="none"/>
      </font>
      <border diagonalUp="0" diagonalDown="0" outline="0">
        <left style="thin">
          <color theme="5"/>
        </left>
        <right style="thin">
          <color theme="5"/>
        </right>
        <top style="thin">
          <color theme="5"/>
        </top>
        <bottom style="thin">
          <color theme="5"/>
        </bottom>
      </border>
    </dxf>
    <dxf>
      <font>
        <strike val="0"/>
        <outline val="0"/>
        <shadow val="0"/>
        <u val="none"/>
        <vertAlign val="baseline"/>
        <sz val="10"/>
        <name val="Cordel"/>
        <scheme val="none"/>
      </font>
      <border diagonalUp="0" diagonalDown="0" outline="0">
        <left/>
        <right style="thin">
          <color theme="5"/>
        </right>
        <top style="thin">
          <color theme="5"/>
        </top>
        <bottom style="thin">
          <color theme="5"/>
        </bottom>
      </border>
    </dxf>
    <dxf>
      <border outline="0">
        <left style="thin">
          <color theme="0"/>
        </left>
      </border>
    </dxf>
    <dxf>
      <font>
        <strike val="0"/>
        <outline val="0"/>
        <shadow val="0"/>
        <u val="none"/>
        <vertAlign val="baseline"/>
        <sz val="10"/>
        <name val="Cordel"/>
        <scheme val="none"/>
      </font>
    </dxf>
    <dxf>
      <font>
        <strike val="0"/>
        <outline val="0"/>
        <shadow val="0"/>
        <u val="none"/>
        <vertAlign val="baseline"/>
        <sz val="10"/>
        <name val="Cordel"/>
        <scheme val="none"/>
      </font>
      <border diagonalUp="0" diagonalDown="0" outline="0">
        <left style="thin">
          <color theme="5"/>
        </left>
        <right style="thin">
          <color theme="5"/>
        </right>
        <top/>
        <bottom/>
      </border>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strike val="0"/>
        <outline val="0"/>
        <shadow val="0"/>
        <u val="none"/>
        <vertAlign val="baseline"/>
        <sz val="10"/>
        <name val="Cordel"/>
        <scheme val="none"/>
      </font>
    </dxf>
    <dxf>
      <font>
        <b val="0"/>
        <i val="0"/>
        <strike val="0"/>
        <condense val="0"/>
        <extend val="0"/>
        <outline val="0"/>
        <shadow val="0"/>
        <u val="none"/>
        <vertAlign val="baseline"/>
        <sz val="12"/>
        <color theme="0"/>
        <name val="Times New Roman"/>
        <scheme val="none"/>
      </font>
      <numFmt numFmtId="34" formatCode="_-&quot;R$&quot;\ * #,##0.00_-;\-&quot;R$&quot;\ * #,##0.00_-;_-&quot;R$&quot;\ * &quot;-&quot;??_-;_-@_-"/>
    </dxf>
    <dxf>
      <font>
        <strike val="0"/>
        <outline val="0"/>
        <shadow val="0"/>
        <u val="none"/>
        <vertAlign val="baseline"/>
        <sz val="12"/>
        <color auto="1"/>
        <name val="Times New Roman"/>
        <scheme val="none"/>
      </font>
    </dxf>
    <dxf>
      <font>
        <b val="0"/>
        <i val="0"/>
        <strike val="0"/>
        <condense val="0"/>
        <extend val="0"/>
        <outline val="0"/>
        <shadow val="0"/>
        <u val="none"/>
        <vertAlign val="baseline"/>
        <sz val="12"/>
        <color theme="0"/>
        <name val="Times New Roman"/>
        <scheme val="none"/>
      </font>
      <numFmt numFmtId="34" formatCode="_-&quot;R$&quot;\ * #,##0.00_-;\-&quot;R$&quot;\ * #,##0.00_-;_-&quot;R$&quot;\ * &quot;-&quot;??_-;_-@_-"/>
    </dxf>
    <dxf>
      <font>
        <strike val="0"/>
        <outline val="0"/>
        <shadow val="0"/>
        <u val="none"/>
        <vertAlign val="baseline"/>
        <sz val="12"/>
        <color auto="1"/>
        <name val="Times New Roman"/>
        <scheme val="none"/>
      </font>
    </dxf>
    <dxf>
      <font>
        <b val="0"/>
        <i val="0"/>
        <strike val="0"/>
        <condense val="0"/>
        <extend val="0"/>
        <outline val="0"/>
        <shadow val="0"/>
        <u val="none"/>
        <vertAlign val="baseline"/>
        <sz val="12"/>
        <color theme="0"/>
        <name val="Times New Roman"/>
        <scheme val="none"/>
      </font>
    </dxf>
    <dxf>
      <font>
        <strike val="0"/>
        <outline val="0"/>
        <shadow val="0"/>
        <u val="none"/>
        <vertAlign val="baseline"/>
        <sz val="12"/>
        <color auto="1"/>
        <name val="Times New Roman"/>
        <scheme val="none"/>
      </font>
      <numFmt numFmtId="165" formatCode="_-[$R$-416]\ * #,##0.00_-;\-[$R$-416]\ * #,##0.00_-;_-[$R$-416]\ * &quot;-&quot;??_-;_-@_-"/>
    </dxf>
    <dxf>
      <font>
        <b val="0"/>
        <i val="0"/>
        <strike val="0"/>
        <condense val="0"/>
        <extend val="0"/>
        <outline val="0"/>
        <shadow val="0"/>
        <u val="none"/>
        <vertAlign val="baseline"/>
        <sz val="12"/>
        <color theme="0"/>
        <name val="Times New Roman"/>
        <scheme val="none"/>
      </font>
      <alignment horizontal="center" vertical="center" textRotation="0" wrapText="0" indent="0" justifyLastLine="0" shrinkToFit="0" readingOrder="0"/>
    </dxf>
    <dxf>
      <font>
        <strike val="0"/>
        <outline val="0"/>
        <shadow val="0"/>
        <u val="none"/>
        <vertAlign val="baseline"/>
        <sz val="12"/>
        <color auto="1"/>
        <name val="Times New Roman"/>
        <scheme val="none"/>
      </font>
      <numFmt numFmtId="2" formatCode="0.00"/>
      <alignment horizontal="center" vertical="center" textRotation="0" wrapText="0" indent="0" justifyLastLine="0" shrinkToFit="0" readingOrder="0"/>
    </dxf>
    <dxf>
      <font>
        <b val="0"/>
        <i val="0"/>
        <strike val="0"/>
        <condense val="0"/>
        <extend val="0"/>
        <outline val="0"/>
        <shadow val="0"/>
        <u val="none"/>
        <vertAlign val="baseline"/>
        <sz val="12"/>
        <color theme="0"/>
        <name val="Times New Roman"/>
        <scheme val="none"/>
      </font>
      <numFmt numFmtId="2" formatCode="0.00"/>
      <alignment horizontal="center" vertical="center" textRotation="0" wrapText="0" indent="0" justifyLastLine="0" shrinkToFit="0" readingOrder="0"/>
    </dxf>
    <dxf>
      <font>
        <strike val="0"/>
        <outline val="0"/>
        <shadow val="0"/>
        <u val="none"/>
        <vertAlign val="baseline"/>
        <sz val="12"/>
        <color auto="1"/>
        <name val="Times New Roman"/>
        <scheme val="none"/>
      </font>
      <numFmt numFmtId="2" formatCode="0.00"/>
      <alignment horizontal="center" vertical="center" textRotation="0" wrapText="0" indent="0" justifyLastLine="0" shrinkToFit="0" readingOrder="0"/>
    </dxf>
    <dxf>
      <font>
        <b val="0"/>
        <i val="0"/>
        <strike val="0"/>
        <condense val="0"/>
        <extend val="0"/>
        <outline val="0"/>
        <shadow val="0"/>
        <u val="none"/>
        <vertAlign val="baseline"/>
        <sz val="12"/>
        <color theme="0"/>
        <name val="Times New Roman"/>
        <scheme val="none"/>
      </font>
      <alignment horizontal="center" vertical="center" textRotation="0" wrapText="0" indent="0" justifyLastLine="0" shrinkToFit="0" readingOrder="0"/>
    </dxf>
    <dxf>
      <font>
        <strike val="0"/>
        <outline val="0"/>
        <shadow val="0"/>
        <u val="none"/>
        <vertAlign val="baseline"/>
        <sz val="12"/>
        <color auto="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0"/>
        <name val="Times New Roman"/>
        <scheme val="none"/>
      </font>
      <alignment horizontal="center" vertical="center" textRotation="0" wrapText="0" indent="0" justifyLastLine="0" shrinkToFit="0" readingOrder="0"/>
    </dxf>
    <dxf>
      <font>
        <strike val="0"/>
        <outline val="0"/>
        <shadow val="0"/>
        <u val="none"/>
        <vertAlign val="baseline"/>
        <sz val="12"/>
        <color auto="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0"/>
        <name val="Times New Roman"/>
        <scheme val="none"/>
      </font>
      <alignment horizontal="general" vertical="bottom" textRotation="0" wrapText="1" indent="0" justifyLastLine="0" shrinkToFit="0" readingOrder="0"/>
    </dxf>
    <dxf>
      <font>
        <strike val="0"/>
        <outline val="0"/>
        <shadow val="0"/>
        <u val="none"/>
        <vertAlign val="baseline"/>
        <sz val="12"/>
        <color auto="1"/>
        <name val="Times New Roman"/>
        <scheme val="none"/>
      </font>
      <alignment vertical="bottom" textRotation="0" wrapText="1" indent="0" justifyLastLine="0" shrinkToFit="0" readingOrder="0"/>
    </dxf>
    <dxf>
      <font>
        <b val="0"/>
        <i val="0"/>
        <strike val="0"/>
        <condense val="0"/>
        <extend val="0"/>
        <outline val="0"/>
        <shadow val="0"/>
        <u val="none"/>
        <vertAlign val="baseline"/>
        <sz val="12"/>
        <color theme="0"/>
        <name val="Times New Roman"/>
        <scheme val="none"/>
      </font>
    </dxf>
    <dxf>
      <font>
        <strike val="0"/>
        <outline val="0"/>
        <shadow val="0"/>
        <u val="none"/>
        <vertAlign val="baseline"/>
        <sz val="12"/>
        <color auto="1"/>
        <name val="Times New Roman"/>
        <scheme val="none"/>
      </font>
    </dxf>
    <dxf>
      <font>
        <strike val="0"/>
        <outline val="0"/>
        <shadow val="0"/>
        <u val="none"/>
        <vertAlign val="baseline"/>
        <sz val="12"/>
        <color theme="0"/>
        <name val="Times New Roman"/>
        <scheme val="none"/>
      </font>
    </dxf>
    <dxf>
      <font>
        <strike val="0"/>
        <outline val="0"/>
        <shadow val="0"/>
        <u val="none"/>
        <vertAlign val="baseline"/>
        <sz val="12"/>
        <color auto="1"/>
        <name val="Times New Roman"/>
        <scheme val="none"/>
      </font>
    </dxf>
    <dxf>
      <font>
        <strike val="0"/>
        <outline val="0"/>
        <shadow val="0"/>
        <u val="none"/>
        <vertAlign val="baseline"/>
        <sz val="12"/>
        <color theme="0"/>
        <name val="Times New Roman"/>
        <scheme val="none"/>
      </font>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border outline="0">
        <top style="thin">
          <color theme="0"/>
        </top>
      </border>
    </dxf>
    <dxf>
      <alignment horizontal="center" vertical="center" textRotation="0" wrapText="1" indent="0" justifyLastLine="0" shrinkToFit="0" readingOrder="0"/>
    </dxf>
    <dxf>
      <border outline="0">
        <top style="thin">
          <color theme="0"/>
        </top>
      </border>
    </dxf>
    <dxf>
      <alignment horizontal="center" vertical="center" textRotation="0" wrapText="1" indent="0" justifyLastLine="0" shrinkToFit="0" readingOrder="0"/>
    </dxf>
    <dxf>
      <font>
        <strike val="0"/>
        <outline val="0"/>
        <shadow val="0"/>
        <u val="none"/>
        <vertAlign val="baseline"/>
        <name val="Cordel"/>
        <scheme val="none"/>
      </font>
      <numFmt numFmtId="0" formatCode="General"/>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border outline="0">
        <top style="thin">
          <color theme="0"/>
        </top>
        <bottom style="thin">
          <color theme="0"/>
        </bottom>
      </border>
    </dxf>
    <dxf>
      <font>
        <strike val="0"/>
        <outline val="0"/>
        <shadow val="0"/>
        <u val="none"/>
        <vertAlign val="baseline"/>
        <name val="Cordel"/>
        <scheme val="none"/>
      </font>
      <alignment horizontal="center" vertical="center" textRotation="0" wrapText="1" indent="0" justifyLastLine="0" shrinkToFit="0" readingOrder="0"/>
    </dxf>
    <dxf>
      <font>
        <strike val="0"/>
        <outline val="0"/>
        <shadow val="0"/>
        <u val="none"/>
        <vertAlign val="baseline"/>
        <name val="Corde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Cordel"/>
        <scheme val="none"/>
      </font>
      <numFmt numFmtId="34" formatCode="_-&quot;R$&quot;\ * #,##0.00_-;\-&quot;R$&quot;\ * #,##0.00_-;_-&quot;R$&quot;\ * &quot;-&quot;??_-;_-@_-"/>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2"/>
        <color theme="1"/>
        <name val="Cordel"/>
        <scheme val="none"/>
      </font>
      <numFmt numFmtId="0" formatCode="General"/>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2"/>
        <name val="Cordel"/>
        <scheme val="none"/>
      </font>
      <fill>
        <patternFill patternType="none">
          <fgColor indexed="64"/>
          <bgColor auto="1"/>
        </patternFill>
      </fill>
    </dxf>
    <dxf>
      <font>
        <strike val="0"/>
        <outline val="0"/>
        <shadow val="0"/>
        <u val="none"/>
        <vertAlign val="baseline"/>
        <sz val="12"/>
        <name val="Cordel"/>
        <scheme val="none"/>
      </font>
      <fill>
        <patternFill patternType="none">
          <fgColor indexed="64"/>
          <bgColor auto="1"/>
        </patternFill>
      </fill>
    </dxf>
    <dxf>
      <font>
        <b val="0"/>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auto="1"/>
        <name val="Times New Roman"/>
        <scheme val="none"/>
      </font>
      <fill>
        <patternFill patternType="none">
          <fgColor indexed="64"/>
          <bgColor auto="1"/>
        </patternFill>
      </fill>
    </dxf>
    <dxf>
      <font>
        <b val="0"/>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auto="1"/>
        <name val="Times New Roman"/>
        <scheme val="none"/>
      </font>
      <fill>
        <patternFill patternType="none">
          <fgColor indexed="64"/>
          <bgColor auto="1"/>
        </patternFill>
      </fill>
    </dxf>
    <dxf>
      <font>
        <b val="0"/>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numFmt numFmtId="4" formatCode="#,##0.00"/>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numFmt numFmtId="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auto="1"/>
        <name val="Times New Roman"/>
        <scheme val="none"/>
      </font>
      <numFmt numFmtId="4" formatCode="#,##0.00"/>
      <fill>
        <patternFill patternType="none">
          <fgColor indexed="64"/>
          <bgColor auto="1"/>
        </patternFill>
      </fill>
    </dxf>
    <dxf>
      <font>
        <b/>
        <i val="0"/>
        <strike val="0"/>
        <condense val="0"/>
        <extend val="0"/>
        <outline val="0"/>
        <shadow val="0"/>
        <u val="none"/>
        <vertAlign val="baseline"/>
        <sz val="11"/>
        <color auto="1"/>
        <name val="Times New Roman"/>
        <scheme val="none"/>
      </font>
      <numFmt numFmtId="4" formatCode="#,##0.00"/>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numFmt numFmtId="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outline="0">
        <left/>
        <right/>
        <top/>
        <bottom/>
      </border>
    </dxf>
    <dxf>
      <font>
        <b/>
        <i val="0"/>
        <strike val="0"/>
        <condense val="0"/>
        <extend val="0"/>
        <outline val="0"/>
        <shadow val="0"/>
        <u val="none"/>
        <vertAlign val="baseline"/>
        <sz val="11"/>
        <color auto="1"/>
        <name val="Times New Roman"/>
        <scheme val="none"/>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name val="Times New Roman"/>
        <scheme val="none"/>
      </font>
      <alignment horizontal="center" vertical="center" textRotation="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medium">
          <color theme="0"/>
        </left>
        <right style="medium">
          <color theme="0"/>
        </right>
        <top/>
        <bottom/>
      </border>
    </dxf>
    <dxf>
      <numFmt numFmtId="34" formatCode="_-&quot;R$&quot;\ * #,##0.00_-;\-&quot;R$&quot;\ * #,##0.00_-;_-&quot;R$&quot;\ * &quot;-&quot;??_-;_-@_-"/>
    </dxf>
    <dxf>
      <numFmt numFmtId="34" formatCode="_-&quot;R$&quot;\ * #,##0.00_-;\-&quot;R$&quot;\ * #,##0.00_-;_-&quot;R$&quot;\ * &quot;-&quot;??_-;_-@_-"/>
    </dxf>
    <dxf>
      <numFmt numFmtId="176" formatCode="_-&quot;R$&quot;\ * #,##0.0_-;\-&quot;R$&quot;\ * #,##0.0_-;_-&quot;R$&quot;\ * &quot;-&quot;??_-;_-@_-"/>
    </dxf>
    <dxf>
      <numFmt numFmtId="176" formatCode="_-&quot;R$&quot;\ * #,##0.0_-;\-&quot;R$&quot;\ * #,##0.0_-;_-&quot;R$&quot;\ * &quot;-&quot;??_-;_-@_-"/>
    </dxf>
    <dxf>
      <numFmt numFmtId="177" formatCode="_-&quot;R$&quot;\ * #,##0_-;\-&quot;R$&quot;\ * #,##0_-;_-&quot;R$&quot;\ * &quot;-&quot;??_-;_-@_-"/>
    </dxf>
    <dxf>
      <numFmt numFmtId="177" formatCode="_-&quot;R$&quot;\ * #,##0_-;\-&quot;R$&quot;\ * #,##0_-;_-&quot;R$&quot;\ * &quot;-&quot;??_-;_-@_-"/>
    </dxf>
    <dxf>
      <numFmt numFmtId="176" formatCode="_-&quot;R$&quot;\ * #,##0.0_-;\-&quot;R$&quot;\ * #,##0.0_-;_-&quot;R$&quot;\ * &quot;-&quot;??_-;_-@_-"/>
    </dxf>
    <dxf>
      <numFmt numFmtId="176" formatCode="_-&quot;R$&quot;\ * #,##0.0_-;\-&quot;R$&quot;\ * #,##0.0_-;_-&quot;R$&quot;\ * &quot;-&quot;??_-;_-@_-"/>
    </dxf>
    <dxf>
      <alignment vertical="center" readingOrder="0"/>
    </dxf>
    <dxf>
      <alignment vertical="center" readingOrder="0"/>
    </dxf>
    <dxf>
      <alignment horizontal="center" readingOrder="0"/>
    </dxf>
    <dxf>
      <alignment horizontal="center" readingOrder="0"/>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font>
        <name val="Times New Roman"/>
        <scheme val="none"/>
      </font>
    </dxf>
    <dxf>
      <numFmt numFmtId="175" formatCode="[$-F400]h:mm:ss\ AM/PM"/>
    </dxf>
    <dxf>
      <numFmt numFmtId="175" formatCode="[$-F400]h:mm:ss\ AM/PM"/>
    </dxf>
    <dxf>
      <numFmt numFmtId="2" formatCode="0.00"/>
    </dxf>
    <dxf>
      <numFmt numFmtId="2" formatCode="0.00"/>
    </dxf>
    <dxf>
      <numFmt numFmtId="2" formatCode="0.00"/>
    </dxf>
    <dxf>
      <numFmt numFmtId="2" formatCode="0.00"/>
    </dxf>
    <dxf>
      <numFmt numFmtId="34" formatCode="_-&quot;R$&quot;\ * #,##0.00_-;\-&quot;R$&quot;\ * #,##0.00_-;_-&quot;R$&quot;\ * &quot;-&quot;??_-;_-@_-"/>
    </dxf>
    <dxf>
      <alignment vertical="center" readingOrder="0"/>
    </dxf>
    <dxf>
      <alignment vertical="center" readingOrder="0"/>
    </dxf>
    <dxf>
      <alignment horizontal="center" readingOrder="0"/>
    </dxf>
    <dxf>
      <alignment horizontal="center" readingOrder="0"/>
    </dxf>
    <dxf>
      <numFmt numFmtId="2" formatCode="0.00"/>
    </dxf>
    <dxf>
      <numFmt numFmtId="2" formatCode="0.00"/>
    </dxf>
    <dxf>
      <numFmt numFmtId="178" formatCode="0.0"/>
    </dxf>
    <dxf>
      <numFmt numFmtId="178" formatCode="0.0"/>
    </dxf>
    <dxf>
      <numFmt numFmtId="1" formatCode="0"/>
    </dxf>
    <dxf>
      <numFmt numFmtId="1" formatCode="0"/>
    </dxf>
    <dxf>
      <numFmt numFmtId="178" formatCode="0.0"/>
    </dxf>
    <dxf>
      <numFmt numFmtId="178" formatCode="0.0"/>
    </dxf>
    <dxf>
      <numFmt numFmtId="2" formatCode="0.00"/>
    </dxf>
    <dxf>
      <numFmt numFmtId="2" formatCode="0.00"/>
    </dxf>
    <dxf>
      <alignment wrapText="1" readingOrder="0"/>
    </dxf>
    <dxf>
      <alignment wrapText="1" readingOrder="0"/>
    </dxf>
    <dxf>
      <alignment wrapText="1" readingOrder="0"/>
    </dxf>
    <dxf>
      <alignment wrapText="1" readingOrder="0"/>
    </dxf>
    <dxf>
      <alignment wrapText="1" readingOrder="0"/>
    </dxf>
    <dxf>
      <alignment wrapText="1"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center" vertical="center" textRotation="0" wrapText="0" indent="0" justifyLastLine="0" shrinkToFit="0" readingOrder="0"/>
    </dxf>
    <dxf>
      <font>
        <strike val="0"/>
        <outline val="0"/>
        <shadow val="0"/>
        <u val="none"/>
        <vertAlign val="baseline"/>
        <sz val="10"/>
        <color auto="1"/>
        <name val="Times New Roman"/>
        <scheme val="none"/>
      </font>
      <alignment horizontal="center" vertical="center" textRotation="0" wrapText="0" indent="0" justifyLastLine="0" shrinkToFit="0" readingOrder="0"/>
    </dxf>
    <dxf>
      <font>
        <strike val="0"/>
        <outline val="0"/>
        <shadow val="0"/>
        <u val="none"/>
        <vertAlign val="baseline"/>
        <sz val="10"/>
        <color auto="1"/>
        <name val="Times New Roman"/>
        <scheme val="none"/>
      </font>
      <alignment horizontal="center" vertical="center" textRotation="0" wrapText="0" indent="0" justifyLastLine="0" shrinkToFit="0" readingOrder="0"/>
    </dxf>
    <dxf>
      <font>
        <strike val="0"/>
        <outline val="0"/>
        <shadow val="0"/>
        <u val="none"/>
        <vertAlign val="baseline"/>
        <sz val="10"/>
        <color auto="1"/>
        <name val="Times New Roman"/>
        <scheme val="none"/>
      </font>
      <alignment vertical="bottom" textRotation="0" wrapText="1" indent="0" justifyLastLine="0" shrinkToFit="0" readingOrder="0"/>
    </dxf>
    <dxf>
      <font>
        <strike val="0"/>
        <outline val="0"/>
        <shadow val="0"/>
        <u val="none"/>
        <vertAlign val="baseline"/>
        <sz val="10"/>
        <color auto="1"/>
        <name val="Times New Roman"/>
        <scheme val="none"/>
      </font>
    </dxf>
    <dxf>
      <font>
        <strike val="0"/>
        <outline val="0"/>
        <shadow val="0"/>
        <u val="none"/>
        <vertAlign val="baseline"/>
        <sz val="10"/>
        <color theme="0"/>
        <name val="Times New Roman"/>
        <scheme val="none"/>
      </font>
    </dxf>
    <dxf>
      <font>
        <strike val="0"/>
        <outline val="0"/>
        <shadow val="0"/>
        <u val="none"/>
        <vertAlign val="baseline"/>
        <sz val="10"/>
        <color auto="1"/>
        <name val="Times New Roman"/>
        <scheme val="none"/>
      </font>
    </dxf>
    <dxf>
      <font>
        <strike val="0"/>
        <outline val="0"/>
        <shadow val="0"/>
        <u val="none"/>
        <vertAlign val="baseline"/>
        <sz val="10"/>
        <color theme="0"/>
        <name val="Times New Roman"/>
        <scheme val="none"/>
      </font>
      <alignment horizontal="center" vertical="center" textRotation="0" wrapText="1" indent="0" justifyLastLine="0" shrinkToFit="0" readingOrder="0"/>
    </dxf>
    <dxf>
      <font>
        <strike val="0"/>
        <outline val="0"/>
        <shadow val="0"/>
        <u val="none"/>
        <vertAlign val="baseline"/>
        <sz val="10"/>
        <color theme="1"/>
        <name val="Times New Roman"/>
        <scheme val="none"/>
      </font>
    </dxf>
    <dxf>
      <font>
        <strike val="0"/>
        <outline val="0"/>
        <shadow val="0"/>
        <u val="none"/>
        <vertAlign val="baseline"/>
        <sz val="10"/>
        <color theme="1"/>
        <name val="Times New Roman"/>
        <scheme val="none"/>
      </font>
    </dxf>
    <dxf>
      <font>
        <strike val="0"/>
        <outline val="0"/>
        <shadow val="0"/>
        <u val="none"/>
        <vertAlign val="baseline"/>
        <sz val="10"/>
        <color theme="1"/>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alignment horizontal="center" vertical="center" textRotation="0" indent="0" justifyLastLine="0" shrinkToFit="0" readingOrder="0"/>
    </dxf>
    <dxf>
      <font>
        <strike val="0"/>
        <outline val="0"/>
        <shadow val="0"/>
        <u val="none"/>
        <vertAlign val="baseline"/>
        <sz val="10"/>
        <name val="Times New Roman"/>
        <scheme val="none"/>
      </font>
      <numFmt numFmtId="14" formatCode="0.00%"/>
    </dxf>
    <dxf>
      <font>
        <strike val="0"/>
        <outline val="0"/>
        <shadow val="0"/>
        <u val="none"/>
        <vertAlign val="baseline"/>
        <sz val="10"/>
        <name val="Times New Roman"/>
        <scheme val="none"/>
      </font>
    </dxf>
    <dxf>
      <font>
        <strike val="0"/>
        <outline val="0"/>
        <shadow val="0"/>
        <u val="none"/>
        <vertAlign val="baseline"/>
        <sz val="10"/>
        <color theme="1"/>
        <name val="Times New Roman"/>
        <scheme val="none"/>
      </font>
      <alignment horizontal="general" vertical="bottom" textRotation="0" wrapText="1" indent="0" justifyLastLine="0" shrinkToFit="0" readingOrder="0"/>
    </dxf>
    <dxf>
      <font>
        <strike val="0"/>
        <outline val="0"/>
        <shadow val="0"/>
        <u val="none"/>
        <vertAlign val="baseline"/>
        <sz val="10"/>
        <name val="Times New Roman"/>
        <scheme val="none"/>
      </font>
    </dxf>
    <dxf>
      <font>
        <strike val="0"/>
        <outline val="0"/>
        <shadow val="0"/>
        <u val="none"/>
        <vertAlign val="baseline"/>
        <sz val="10"/>
        <name val="Times New Roman"/>
        <scheme val="none"/>
      </font>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general" vertical="bottom" textRotation="0" wrapText="1" indent="0" justifyLastLine="0" shrinkToFit="0" readingOrder="0"/>
    </dxf>
    <dxf>
      <font>
        <strike val="0"/>
        <outline val="0"/>
        <shadow val="0"/>
        <u val="none"/>
        <vertAlign val="baseline"/>
        <sz val="10"/>
        <name val="Times New Roman"/>
        <scheme val="none"/>
      </font>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solid">
          <fgColor indexed="64"/>
          <bgColor theme="0"/>
        </patternFill>
      </fill>
      <alignment horizontal="center" vertical="center" textRotation="0" wrapText="1" indent="0" justifyLastLine="0" shrinkToFit="0" readingOrder="0"/>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alignment horizontal="center" vertical="center" textRotation="0" wrapText="1" indent="0" justifyLastLine="0" shrinkToFit="0" readingOrder="0"/>
    </dxf>
    <dxf>
      <font>
        <strike val="0"/>
        <outline val="0"/>
        <shadow val="0"/>
        <u val="none"/>
        <vertAlign val="baseline"/>
        <sz val="10"/>
        <name val="Times New Roman"/>
        <scheme val="none"/>
      </font>
    </dxf>
    <dxf>
      <font>
        <strike val="0"/>
        <outline val="0"/>
        <shadow val="0"/>
        <u val="none"/>
        <vertAlign val="baseline"/>
        <sz val="10"/>
        <color auto="1"/>
        <name val="Times New Roman"/>
        <scheme val="none"/>
      </font>
      <numFmt numFmtId="2" formatCode="0.00"/>
      <alignment horizontal="center" vertical="center" textRotation="0" wrapText="0" indent="0" justifyLastLine="0" shrinkToFit="0" readingOrder="0"/>
    </dxf>
    <dxf>
      <font>
        <strike val="0"/>
        <outline val="0"/>
        <shadow val="0"/>
        <u val="none"/>
        <vertAlign val="baseline"/>
        <sz val="10"/>
        <color auto="1"/>
        <name val="Times New Roman"/>
        <scheme val="none"/>
      </font>
      <alignment vertical="bottom" textRotation="0" wrapText="1" indent="0" justifyLastLine="0" shrinkToFit="0" readingOrder="0"/>
    </dxf>
    <dxf>
      <font>
        <strike val="0"/>
        <outline val="0"/>
        <shadow val="0"/>
        <u val="none"/>
        <vertAlign val="baseline"/>
        <sz val="10"/>
        <color auto="1"/>
        <name val="Times New Roman"/>
        <scheme val="none"/>
      </font>
    </dxf>
    <dxf>
      <font>
        <strike val="0"/>
        <outline val="0"/>
        <shadow val="0"/>
        <u val="none"/>
        <vertAlign val="baseline"/>
        <sz val="10"/>
        <name val="Times New Roman"/>
        <scheme val="none"/>
      </font>
      <alignment horizontal="center" vertical="center" textRotation="0"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numFmt numFmtId="14" formatCode="0.00%"/>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dxf>
    <dxf>
      <fill>
        <patternFill patternType="none">
          <fgColor indexed="64"/>
          <bgColor indexed="65"/>
        </patternFill>
      </fill>
    </dxf>
    <dxf>
      <font>
        <b/>
        <strike val="0"/>
        <outline val="0"/>
        <shadow val="0"/>
        <u val="none"/>
        <vertAlign val="baseline"/>
        <sz val="11"/>
        <color theme="1"/>
        <name val="Times New Roman"/>
        <scheme val="none"/>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1"/>
        <name val="Times New Roman"/>
        <scheme val="none"/>
      </font>
      <alignment horizontal="center" vertical="center" textRotation="0" wrapText="1" indent="0" justifyLastLine="0" shrinkToFit="0" readingOrder="0"/>
    </dxf>
    <dxf>
      <border outline="0">
        <top style="medium">
          <color rgb="FFC2D69B"/>
        </top>
        <bottom style="medium">
          <color rgb="FFC2D69B"/>
        </bottom>
      </border>
    </dxf>
    <dxf>
      <font>
        <b val="0"/>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border outline="0">
        <bottom style="medium">
          <color rgb="FFC2D69B"/>
        </bottom>
      </border>
    </dxf>
    <dxf>
      <font>
        <b/>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scheme val="none"/>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scheme val="none"/>
      </font>
      <numFmt numFmtId="14" formatCode="0.00%"/>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numFmt numFmtId="14" formatCode="0.00%"/>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34" formatCode="_-&quot;R$&quot;\ * #,##0.00_-;\-&quot;R$&quot;\ * #,##0.00_-;_-&quot;R$&quot;\ * &quot;-&quot;??_-;_-@_-"/>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dxf>
    <dxf>
      <fill>
        <patternFill patternType="none">
          <fgColor indexed="64"/>
          <bgColor indexed="65"/>
        </patternFill>
      </fill>
    </dxf>
    <dxf>
      <font>
        <b/>
        <strike val="0"/>
        <outline val="0"/>
        <shadow val="0"/>
        <u val="none"/>
        <vertAlign val="baseline"/>
        <sz val="11"/>
        <color theme="1"/>
        <name val="Times New Roman"/>
        <scheme val="none"/>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theme="1"/>
        <name val="Corbel"/>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1"/>
        <name val="Times New Roman"/>
        <scheme val="none"/>
      </font>
      <alignment horizontal="center" vertical="center" textRotation="0" wrapText="1" indent="0" justifyLastLine="0" shrinkToFit="0" readingOrder="0"/>
    </dxf>
    <dxf>
      <border outline="0">
        <top style="medium">
          <color rgb="FFC2D69B"/>
        </top>
        <bottom style="medium">
          <color rgb="FFC2D69B"/>
        </bottom>
      </border>
    </dxf>
    <dxf>
      <font>
        <b val="0"/>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border outline="0">
        <bottom style="medium">
          <color rgb="FFC2D69B"/>
        </bottom>
      </border>
    </dxf>
    <dxf>
      <font>
        <b/>
        <i val="0"/>
        <strike val="0"/>
        <condense val="0"/>
        <extend val="0"/>
        <outline val="0"/>
        <shadow val="0"/>
        <u val="none"/>
        <vertAlign val="baseline"/>
        <sz val="11"/>
        <color theme="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val="0"/>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val="0"/>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Times New Roman"/>
        <scheme val="none"/>
      </font>
      <numFmt numFmtId="4" formatCode="#,##0.00"/>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numFmt numFmtId="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Times New Roman"/>
        <scheme val="none"/>
      </font>
      <numFmt numFmtId="4" formatCode="#,##0.00"/>
      <fill>
        <patternFill patternType="none">
          <fgColor indexed="64"/>
          <bgColor auto="1"/>
        </patternFill>
      </fill>
    </dxf>
    <dxf>
      <font>
        <b/>
        <i val="0"/>
        <strike val="0"/>
        <condense val="0"/>
        <extend val="0"/>
        <outline val="0"/>
        <shadow val="0"/>
        <u val="none"/>
        <vertAlign val="baseline"/>
        <sz val="11"/>
        <color theme="0"/>
        <name val="Times New Roman"/>
        <scheme val="none"/>
      </font>
      <numFmt numFmtId="4" formatCode="#,##0.00"/>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numFmt numFmtId="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theme="0"/>
        <name val="Times New Roman"/>
        <scheme val="none"/>
      </font>
      <fill>
        <patternFill patternType="none">
          <fgColor indexed="64"/>
          <bgColor indexed="65"/>
        </patternFill>
      </fill>
      <alignment horizontal="center" vertical="center" textRotation="0" wrapText="1" indent="0" justifyLastLine="0" shrinkToFit="0" readingOrder="0"/>
    </dxf>
    <dxf>
      <font>
        <b/>
        <i val="0"/>
        <strike val="0"/>
        <condense val="0"/>
        <extend val="0"/>
        <outline val="0"/>
        <shadow val="0"/>
        <u val="none"/>
        <vertAlign val="baseline"/>
        <sz val="11"/>
        <color auto="1"/>
        <name val="Times New Roman"/>
        <scheme val="none"/>
      </font>
      <fill>
        <patternFill patternType="none">
          <fgColor indexed="64"/>
          <bgColor auto="1"/>
        </patternFill>
      </fill>
      <alignment horizontal="center" vertical="center" textRotation="0" wrapText="1" indent="0" justifyLastLine="0" shrinkToFit="0" readingOrder="0"/>
    </dxf>
    <dxf>
      <font>
        <strike val="0"/>
        <outline val="0"/>
        <shadow val="0"/>
        <u val="none"/>
        <vertAlign val="baseline"/>
        <sz val="11"/>
        <color theme="0"/>
        <name val="Times New Roman"/>
        <scheme val="none"/>
      </font>
      <alignment horizontal="center" vertical="center" textRotation="0" indent="0" justifyLastLine="0" shrinkToFit="0" readingOrder="0"/>
    </dxf>
    <dxf>
      <font>
        <strike val="0"/>
        <outline val="0"/>
        <shadow val="0"/>
        <u val="none"/>
        <vertAlign val="baseline"/>
        <sz val="11"/>
        <color auto="1"/>
        <name val="Times New Roman"/>
        <scheme val="none"/>
      </font>
      <fill>
        <patternFill patternType="none">
          <fgColor indexed="64"/>
          <bgColor auto="1"/>
        </patternFill>
      </fill>
    </dxf>
    <dxf>
      <font>
        <b/>
        <i val="0"/>
        <strike val="0"/>
        <condense val="0"/>
        <extend val="0"/>
        <outline val="0"/>
        <shadow val="0"/>
        <u val="none"/>
        <vertAlign val="baseline"/>
        <sz val="11"/>
        <color theme="0"/>
        <name val="Times New Roman"/>
        <scheme val="none"/>
      </font>
      <fill>
        <patternFill patternType="solid">
          <fgColor indexed="64"/>
          <bgColor theme="8"/>
        </patternFill>
      </fill>
      <alignment horizontal="center" vertical="center" textRotation="0" wrapText="1" indent="0" justifyLastLine="0" shrinkToFit="0" readingOrder="0"/>
      <border diagonalUp="0" diagonalDown="0" outline="0">
        <left style="medium">
          <color theme="0"/>
        </left>
        <right style="medium">
          <color theme="0"/>
        </right>
        <top/>
        <bottom/>
      </border>
    </dxf>
    <dxf>
      <font>
        <strike val="0"/>
        <outline val="0"/>
        <shadow val="0"/>
        <u val="none"/>
        <sz val="10"/>
        <name val="Times New Roman"/>
        <scheme val="none"/>
      </font>
      <numFmt numFmtId="14" formatCode="0.00%"/>
    </dxf>
    <dxf>
      <font>
        <strike val="0"/>
        <outline val="0"/>
        <shadow val="0"/>
        <u val="none"/>
        <sz val="10"/>
        <name val="Times New Roman"/>
        <scheme val="none"/>
      </font>
      <numFmt numFmtId="14" formatCode="0.00%"/>
    </dxf>
    <dxf>
      <font>
        <strike val="0"/>
        <outline val="0"/>
        <shadow val="0"/>
        <u val="none"/>
        <sz val="10"/>
        <name val="Times New Roman"/>
        <scheme val="none"/>
      </font>
      <alignment textRotation="0" wrapText="1" indent="0" justifyLastLine="0" shrinkToFit="0" readingOrder="0"/>
    </dxf>
    <dxf>
      <font>
        <strike val="0"/>
        <outline val="0"/>
        <shadow val="0"/>
        <u val="none"/>
        <sz val="10"/>
        <name val="Times New Roman"/>
        <scheme val="none"/>
      </font>
    </dxf>
    <dxf>
      <font>
        <strike val="0"/>
        <outline val="0"/>
        <shadow val="0"/>
        <u val="none"/>
        <sz val="10"/>
        <name val="Times New Roman"/>
        <scheme val="none"/>
      </font>
    </dxf>
    <dxf>
      <font>
        <b val="0"/>
        <i val="0"/>
        <strike val="0"/>
        <condense val="0"/>
        <extend val="0"/>
        <outline val="0"/>
        <shadow val="0"/>
        <u val="none"/>
        <vertAlign val="baseline"/>
        <sz val="10"/>
        <color auto="1"/>
        <name val="Times New Roman"/>
        <scheme val="none"/>
      </font>
      <numFmt numFmtId="3" formatCode="#,##0"/>
      <alignment horizontal="center" vertical="center" textRotation="0" wrapText="1" indent="0" justifyLastLine="0" shrinkToFit="0" readingOrder="0"/>
    </dxf>
    <dxf>
      <font>
        <b val="0"/>
        <i val="0"/>
        <strike val="0"/>
        <condense val="0"/>
        <extend val="0"/>
        <outline val="0"/>
        <shadow val="0"/>
        <u val="none"/>
        <vertAlign val="baseline"/>
        <sz val="10"/>
        <color auto="1"/>
        <name val="Times New Roman"/>
        <scheme val="none"/>
      </font>
      <numFmt numFmtId="3" formatCode="#,##0"/>
      <alignment horizontal="center"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sz val="10"/>
        <color auto="1"/>
        <name val="Times New Roman"/>
        <scheme val="none"/>
      </font>
    </dxf>
    <dxf>
      <border>
        <bottom style="thin">
          <color theme="0"/>
        </bottom>
      </border>
    </dxf>
    <dxf>
      <font>
        <strike val="0"/>
        <outline val="0"/>
        <shadow val="0"/>
        <u val="none"/>
        <sz val="10"/>
        <color theme="0"/>
        <name val="Times New Roman"/>
        <scheme val="none"/>
      </font>
      <fill>
        <patternFill patternType="none">
          <fgColor indexed="64"/>
          <bgColor auto="1"/>
        </patternFill>
      </fill>
      <border diagonalUp="0" diagonalDown="0" outline="0">
        <left style="thin">
          <color theme="0"/>
        </left>
        <right style="thin">
          <color theme="0"/>
        </right>
        <top/>
        <bottom/>
      </border>
    </dxf>
    <dxf>
      <font>
        <strike val="0"/>
        <outline val="0"/>
        <shadow val="0"/>
        <u val="none"/>
        <vertAlign val="baseline"/>
        <sz val="10"/>
        <color theme="1"/>
        <name val="Times New Roman"/>
        <scheme val="none"/>
      </font>
      <numFmt numFmtId="14" formatCode="0.00%"/>
    </dxf>
    <dxf>
      <font>
        <strike val="0"/>
        <outline val="0"/>
        <shadow val="0"/>
        <u val="none"/>
        <vertAlign val="baseline"/>
        <sz val="10"/>
        <color theme="1"/>
        <name val="Times New Roman"/>
        <scheme val="none"/>
      </font>
    </dxf>
    <dxf>
      <font>
        <strike val="0"/>
        <outline val="0"/>
        <shadow val="0"/>
        <u val="none"/>
        <vertAlign val="baseline"/>
        <sz val="10"/>
        <color theme="1"/>
        <name val="Times New Roman"/>
        <scheme val="none"/>
      </font>
    </dxf>
    <dxf>
      <font>
        <strike val="0"/>
        <outline val="0"/>
        <shadow val="0"/>
        <u val="none"/>
        <vertAlign val="baseline"/>
        <sz val="10"/>
        <color theme="1"/>
        <name val="Times New Roman"/>
        <scheme val="none"/>
      </font>
      <alignment horizontal="general" vertical="bottom"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auto="1"/>
        </patternFill>
      </fill>
      <alignment horizontal="left" vertical="center" textRotation="0" wrapText="1" indent="0" justifyLastLine="0" shrinkToFit="0" readingOrder="0"/>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0"/>
        <name val="Times New Roman"/>
        <scheme val="none"/>
      </font>
      <fill>
        <patternFill patternType="none">
          <fgColor indexed="64"/>
          <bgColor auto="1"/>
        </patternFill>
      </fill>
    </dxf>
    <dxf>
      <border>
        <bottom style="thin">
          <color theme="0"/>
        </bottom>
      </border>
    </dxf>
    <dxf>
      <font>
        <strike val="0"/>
        <outline val="0"/>
        <shadow val="0"/>
        <u val="none"/>
        <vertAlign val="baseline"/>
        <sz val="10"/>
        <name val="Times New Roman"/>
        <scheme val="none"/>
      </font>
      <fill>
        <patternFill patternType="none">
          <fgColor indexed="64"/>
          <bgColor auto="1"/>
        </patternFill>
      </fill>
      <border diagonalUp="0" diagonalDown="0" outline="0">
        <left style="thin">
          <color theme="0"/>
        </left>
        <right style="thin">
          <color theme="0"/>
        </right>
        <top/>
        <bottom/>
      </border>
    </dxf>
    <dxf>
      <font>
        <b val="0"/>
        <i val="0"/>
        <strike val="0"/>
        <condense val="0"/>
        <extend val="0"/>
        <outline val="0"/>
        <shadow val="0"/>
        <u val="none"/>
        <vertAlign val="baseline"/>
        <sz val="10"/>
        <color theme="1"/>
        <name val="Times New Roman"/>
        <scheme val="none"/>
      </font>
      <numFmt numFmtId="168" formatCode="0.0000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168" formatCode="0.0000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1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2"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auto="1"/>
        </patternFill>
      </fill>
      <alignment horizontal="left" vertical="center" textRotation="0" wrapText="1" indent="0" justifyLastLine="0" shrinkToFit="0" readingOrder="0"/>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0"/>
        <name val="Times New Roman"/>
        <scheme val="none"/>
      </font>
      <numFmt numFmtId="4" formatCode="#,##0.00"/>
      <fill>
        <patternFill patternType="none">
          <fgColor indexed="64"/>
          <bgColor auto="1"/>
        </patternFill>
      </fill>
    </dxf>
    <dxf>
      <border>
        <bottom style="thin">
          <color theme="0"/>
        </bottom>
      </border>
    </dxf>
    <dxf>
      <font>
        <b/>
        <i val="0"/>
        <strike val="0"/>
        <condense val="0"/>
        <extend val="0"/>
        <outline val="0"/>
        <shadow val="0"/>
        <u val="none"/>
        <vertAlign val="baseline"/>
        <sz val="10"/>
        <color auto="1"/>
        <name val="Times New Roman"/>
        <scheme val="none"/>
      </font>
      <numFmt numFmtId="4" formatCode="#,##0.00"/>
      <fill>
        <patternFill patternType="none">
          <fgColor indexed="64"/>
          <bgColor auto="1"/>
        </patternFill>
      </fill>
      <alignment horizontal="center" vertical="center" textRotation="0" wrapText="1"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0"/>
        <color theme="1"/>
        <name val="Times New Roman"/>
        <scheme val="none"/>
      </font>
      <numFmt numFmtId="4" formatCode="#,##0.00"/>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numFmt numFmtId="30" formatCode="@"/>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auto="1"/>
        </patternFill>
      </fill>
      <alignment horizontal="center" vertical="center" textRotation="0" wrapText="0" indent="0" justifyLastLine="0" shrinkToFit="0" readingOrder="0"/>
    </dxf>
    <dxf>
      <border>
        <top style="thin">
          <color theme="0"/>
        </top>
      </border>
    </dxf>
    <dxf>
      <border diagonalUp="0" diagonalDown="0">
        <left style="thin">
          <color theme="0"/>
        </left>
        <right style="thin">
          <color theme="0"/>
        </right>
        <top style="thin">
          <color theme="0"/>
        </top>
        <bottom style="thin">
          <color theme="0"/>
        </bottom>
      </border>
    </dxf>
    <dxf>
      <font>
        <strike val="0"/>
        <outline val="0"/>
        <shadow val="0"/>
        <u val="none"/>
        <vertAlign val="baseline"/>
        <sz val="10"/>
        <name val="Times New Roman"/>
        <scheme val="none"/>
      </font>
      <fill>
        <patternFill patternType="none">
          <fgColor indexed="64"/>
          <bgColor auto="1"/>
        </patternFill>
      </fill>
    </dxf>
    <dxf>
      <border>
        <bottom style="thin">
          <color theme="0"/>
        </bottom>
      </border>
    </dxf>
    <dxf>
      <font>
        <b/>
        <i val="0"/>
        <strike val="0"/>
        <condense val="0"/>
        <extend val="0"/>
        <outline val="0"/>
        <shadow val="0"/>
        <u val="none"/>
        <vertAlign val="baseline"/>
        <sz val="1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theme="0"/>
        </left>
        <right style="thin">
          <color theme="0"/>
        </right>
        <top/>
        <bottom/>
      </border>
    </dxf>
  </dxfs>
  <tableStyles count="0" defaultTableStyle="TableStyleMedium3" defaultPivotStyle="PivotStyleLight16"/>
  <colors>
    <mruColors>
      <color rgb="FFFA99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pivotCacheDefinition" Target="pivotCache/pivotCacheDefinition2.xml"/><Relationship Id="rId26" Type="http://schemas.openxmlformats.org/officeDocument/2006/relationships/customXml" Target="../customXml/item4.xml"/><Relationship Id="rId39" Type="http://schemas.openxmlformats.org/officeDocument/2006/relationships/customXml" Target="../customXml/item17.xml"/><Relationship Id="rId21" Type="http://schemas.openxmlformats.org/officeDocument/2006/relationships/sharedStrings" Target="sharedStrings.xml"/><Relationship Id="rId34" Type="http://schemas.openxmlformats.org/officeDocument/2006/relationships/customXml" Target="../customXml/item12.xml"/><Relationship Id="rId42" Type="http://schemas.openxmlformats.org/officeDocument/2006/relationships/customXml" Target="../customXml/item20.xml"/><Relationship Id="rId47" Type="http://schemas.openxmlformats.org/officeDocument/2006/relationships/customXml" Target="../customXml/item2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1.xml"/><Relationship Id="rId29" Type="http://schemas.openxmlformats.org/officeDocument/2006/relationships/customXml" Target="../customXml/item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32" Type="http://schemas.openxmlformats.org/officeDocument/2006/relationships/customXml" Target="../customXml/item10.xml"/><Relationship Id="rId37" Type="http://schemas.openxmlformats.org/officeDocument/2006/relationships/customXml" Target="../customXml/item15.xml"/><Relationship Id="rId40" Type="http://schemas.openxmlformats.org/officeDocument/2006/relationships/customXml" Target="../customXml/item18.xml"/><Relationship Id="rId45" Type="http://schemas.openxmlformats.org/officeDocument/2006/relationships/customXml" Target="../customXml/item2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28" Type="http://schemas.openxmlformats.org/officeDocument/2006/relationships/customXml" Target="../customXml/item6.xml"/><Relationship Id="rId36" Type="http://schemas.openxmlformats.org/officeDocument/2006/relationships/customXml" Target="../customXml/item14.xml"/><Relationship Id="rId10" Type="http://schemas.openxmlformats.org/officeDocument/2006/relationships/worksheet" Target="worksheets/sheet10.xml"/><Relationship Id="rId19" Type="http://schemas.openxmlformats.org/officeDocument/2006/relationships/theme" Target="theme/theme1.xml"/><Relationship Id="rId31" Type="http://schemas.openxmlformats.org/officeDocument/2006/relationships/customXml" Target="../customXml/item9.xml"/><Relationship Id="rId44" Type="http://schemas.openxmlformats.org/officeDocument/2006/relationships/customXml" Target="../customXml/item2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 Id="rId27" Type="http://schemas.openxmlformats.org/officeDocument/2006/relationships/customXml" Target="../customXml/item5.xml"/><Relationship Id="rId30" Type="http://schemas.openxmlformats.org/officeDocument/2006/relationships/customXml" Target="../customXml/item8.xml"/><Relationship Id="rId35" Type="http://schemas.openxmlformats.org/officeDocument/2006/relationships/customXml" Target="../customXml/item13.xml"/><Relationship Id="rId43" Type="http://schemas.openxmlformats.org/officeDocument/2006/relationships/customXml" Target="../customXml/item2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pivotCacheDefinition" Target="pivotCache/pivotCacheDefinition1.xml"/><Relationship Id="rId25" Type="http://schemas.openxmlformats.org/officeDocument/2006/relationships/customXml" Target="../customXml/item3.xml"/><Relationship Id="rId33" Type="http://schemas.openxmlformats.org/officeDocument/2006/relationships/customXml" Target="../customXml/item11.xml"/><Relationship Id="rId38" Type="http://schemas.openxmlformats.org/officeDocument/2006/relationships/customXml" Target="../customXml/item16.xml"/><Relationship Id="rId46" Type="http://schemas.openxmlformats.org/officeDocument/2006/relationships/customXml" Target="../customXml/item24.xml"/><Relationship Id="rId20" Type="http://schemas.openxmlformats.org/officeDocument/2006/relationships/styles" Target="styles.xml"/><Relationship Id="rId41" Type="http://schemas.openxmlformats.org/officeDocument/2006/relationships/customXml" Target="../customXml/item19.xml"/></Relationships>
</file>

<file path=xl/drawings/drawing1.xml><?xml version="1.0" encoding="utf-8"?>
<xdr:wsDr xmlns:xdr="http://schemas.openxmlformats.org/drawingml/2006/spreadsheetDrawing" xmlns:a="http://schemas.openxmlformats.org/drawingml/2006/main">
  <xdr:twoCellAnchor>
    <xdr:from>
      <xdr:col>3</xdr:col>
      <xdr:colOff>0</xdr:colOff>
      <xdr:row>4</xdr:row>
      <xdr:rowOff>1</xdr:rowOff>
    </xdr:from>
    <xdr:to>
      <xdr:col>8</xdr:col>
      <xdr:colOff>9525</xdr:colOff>
      <xdr:row>4</xdr:row>
      <xdr:rowOff>9525</xdr:rowOff>
    </xdr:to>
    <xdr:cxnSp macro="">
      <xdr:nvCxnSpPr>
        <xdr:cNvPr id="2" name="Conector reto 1">
          <a:extLst>
            <a:ext uri="{FF2B5EF4-FFF2-40B4-BE49-F238E27FC236}">
              <a16:creationId xmlns:a16="http://schemas.microsoft.com/office/drawing/2014/main" id="{00000000-0008-0000-0300-000002000000}"/>
            </a:ext>
          </a:extLst>
        </xdr:cNvPr>
        <xdr:cNvCxnSpPr/>
      </xdr:nvCxnSpPr>
      <xdr:spPr>
        <a:xfrm>
          <a:off x="5334000" y="762001"/>
          <a:ext cx="7505700" cy="9524"/>
        </a:xfrm>
        <a:prstGeom prst="line">
          <a:avLst/>
        </a:prstGeom>
      </xdr:spPr>
      <xdr:style>
        <a:lnRef idx="3">
          <a:schemeClr val="accent6"/>
        </a:lnRef>
        <a:fillRef idx="0">
          <a:schemeClr val="accent6"/>
        </a:fillRef>
        <a:effectRef idx="2">
          <a:schemeClr val="accent6"/>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2688329/Google%20Drive/Demandas/2021/2%20-%20Limpeza%20-%20IFAM/Planejamento/Demandas/Eirunep&#233;%20-%20OK/Levantamento_de_reas_e_materia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 05-2017"/>
      <sheetName val="Definir Padrões e Referências"/>
      <sheetName val="Plano de Trabalho"/>
      <sheetName val="Proposta Metro "/>
      <sheetName val="Dinâmica do Plano de Trabalho"/>
      <sheetName val="Custo Total Pessoas"/>
      <sheetName val="CCT-AM000507 2020"/>
      <sheetName val="Encargo do Contrato"/>
      <sheetName val="Tempos"/>
      <sheetName val="Materiais "/>
      <sheetName val="UtensílioDepreciação"/>
      <sheetName val="M. Cálculo Empre"/>
      <sheetName val="Rescisão"/>
      <sheetName val="Profissional Ausente"/>
      <sheetName val="Orientações"/>
      <sheetName val="Modelo - Agente de Limpeza"/>
      <sheetName val="Modelo - Líder de Limpeza"/>
      <sheetName val="Quadro Resumo"/>
      <sheetName val="Memória de Cálcul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B DA ROCHA" refreshedDate="44650.711438888888" createdVersion="6" refreshedVersion="7" minRefreshableVersion="3" recordCount="49" xr:uid="{00000000-000A-0000-FFFF-FFFF01000000}">
  <cacheSource type="worksheet">
    <worksheetSource name="Tabela5[[Plano]:[Tempo Total Estimado das Atividades]]"/>
  </cacheSource>
  <cacheFields count="29">
    <cacheField name="Plano" numFmtId="0">
      <sharedItems/>
    </cacheField>
    <cacheField name="Local" numFmtId="0">
      <sharedItems containsBlank="1" count="87">
        <s v="Recepção"/>
        <s v=" Laboratório de Informática"/>
        <s v="Sala  de atendimento ao educando"/>
        <s v="Sala de Atendimento Psicológico"/>
        <s v="Sala de atendimento de saúde"/>
        <s v="Banheiro (Prédio Liceu)"/>
        <s v="Sala de aula 1 - ANEXO"/>
        <s v="Sala de aula 2 - ANEXO"/>
        <s v="Área externa (calçada 1)"/>
        <s v="Área externa (calçada 2)"/>
        <s v="Sala de aula 3 -Anexo"/>
        <s v="Sala de aula 4 -Anexo"/>
        <s v="Sala de aula 5 -Anexo"/>
        <s v="Sala de aula 6 -Anexo"/>
        <s v="Banheiro (prédio anexo)"/>
        <s v="Escadas principais"/>
        <s v="Corredor lateral"/>
        <s v="Laboratório de Informática"/>
        <s v="Banheiro (sala de manutenção dos computadore)s"/>
        <s v="Área de circulação (corredor) "/>
        <s v="Área próxima ao banheiro"/>
        <s v="Laboratório de manutenção computadores"/>
        <s v="Sala do Rack (servidor)"/>
        <s v="Caixa D'água"/>
        <s v="Vidraças (Prédio Liceu)"/>
        <s v="Área externa  (calçada 3)"/>
        <s v="Biblioteca "/>
        <s v="Sala de Estudo"/>
        <s v="Área Externa de circulação - (Centro de Referência) "/>
        <s v="Fachada"/>
        <s v="Área  externa (frente do prédio centro de referência "/>
        <s v="Sala dos professores"/>
        <s v=" Sala dos coordenadores"/>
        <s v="Sala do DEPE"/>
        <s v="Sala de adicionamento da merenda"/>
        <s v="Cozinha"/>
        <s v="Sala do DAP"/>
        <s v="Sala da Direção Geral"/>
        <s v="Vidraças (Prédio Centro de Referência)"/>
        <s v="Sala de aula 1  - (Prédio Centro de Referência)"/>
        <s v="Sala de aula 2  - (Prédio Centro de Referência)"/>
        <s v="Sala de aula 3  - (Prédio Centro de Referência)"/>
        <s v="Laboratório de informática - (Prédio Centro de Referência)"/>
        <s v="Banheiros masculino"/>
        <s v="Banheiros feminino"/>
        <s v="Depósito de materiais "/>
        <s v="Corredor central"/>
        <s v="Área de convivência"/>
        <s v="Hall" u="1"/>
        <m u="1"/>
        <s v="Banheiros de Servidores" u="1"/>
        <s v="Escaladas Principais" u="1"/>
        <s v="Lixeira Principal" u="1"/>
        <s v="Garagem Coberta" u="1"/>
        <s v="Laboratorios de Informática  1 e 2" u="1"/>
        <s v="Esquadrias (portas e janelas)" u="1"/>
        <s v="Sala de Reunião" u="1"/>
        <s v="Banheiros/discentes" u="1"/>
        <s v="Secretaria" u="1"/>
        <s v="Assistência do Aluno" u="1"/>
        <s v="Janelas internas" u="1"/>
        <s v="Salas Pré-moldadas" u="1"/>
        <s v="Corredor" u="1"/>
        <s v="Janelas externas" u="1"/>
        <s v="Assistência Social/Psiscologia" u="1"/>
        <s v="Biblioteca" u="1"/>
        <s v="Lab.Multidisciplinar" u="1"/>
        <s v="Copa" u="1"/>
        <s v="Elevador" u="1"/>
        <s v="Salas 1,2 ,3" u="1"/>
        <s v="Estacionamento com Calçamento" u="1"/>
        <s v="Estacionamento sem Calçamento" u="1"/>
        <s v="Setor Pedagógico" u="1"/>
        <s v="Sala de Professores" u="1"/>
        <s v="Sala Administrativa" u="1"/>
        <s v="Banheiros" u="1"/>
        <s v="COPI/COEX" u="1"/>
        <s v="Diretoria" u="1"/>
        <s v="Cisterna" u="1"/>
        <s v="Sala de Estudos" u="1"/>
        <s v="Salas" u="1"/>
        <s v="Banheiro Privativo" u="1"/>
        <s v="CRA" u="1"/>
        <s v="Calçadas" u="1"/>
        <s v="Refeitório" u="1"/>
        <s v="Corredores" u="1"/>
        <s v="DGTI" u="1"/>
      </sharedItems>
    </cacheField>
    <cacheField name="Atividades" numFmtId="0">
      <sharedItems/>
    </cacheField>
    <cacheField name="Pavimento" numFmtId="0">
      <sharedItems/>
    </cacheField>
    <cacheField name="Orientação" numFmtId="0">
      <sharedItems longText="1"/>
    </cacheField>
    <cacheField name="Superfície" numFmtId="0">
      <sharedItems count="8">
        <s v="01.02.Pisos Frios"/>
        <s v="01.02.Laboratórios"/>
        <s v="01.06.Banheiros"/>
        <s v="02.01.Pisos pavimentados adjacentes e contíguos às edificações"/>
        <s v="03.03.Face interna"/>
        <s v="04.01.Fachadas Envidraçadas"/>
        <s v="03.01.Face externa com exposição a situação de risco"/>
        <s v="03.02.Face externa sem exposição a situação de risco" u="1"/>
      </sharedItems>
    </cacheField>
    <cacheField name="Tamanho Real" numFmtId="2">
      <sharedItems containsSemiMixedTypes="0" containsString="0" containsNumber="1" minValue="2.4900000000000002" maxValue="180"/>
    </cacheField>
    <cacheField name="Periodicidade" numFmtId="0">
      <sharedItems/>
    </cacheField>
    <cacheField name="Produtividade" numFmtId="0">
      <sharedItems containsSemiMixedTypes="0" containsString="0" containsNumber="1" containsInteger="1" minValue="160" maxValue="2700"/>
    </cacheField>
    <cacheField name="Frequência" numFmtId="0">
      <sharedItems containsSemiMixedTypes="0" containsString="0" containsNumber="1" containsInteger="1" minValue="2" maxValue="3"/>
    </cacheField>
    <cacheField name="Rotina Diária" numFmtId="167">
      <sharedItems containsSemiMixedTypes="0" containsString="0" containsNumber="1" minValue="0.08" maxValue="3"/>
    </cacheField>
    <cacheField name="Área Efetiva em Diária" numFmtId="171">
      <sharedItems containsSemiMixedTypes="0" containsString="0" containsNumber="1" minValue="0.19920000000000002" maxValue="540"/>
    </cacheField>
    <cacheField name="Mão de Obras" numFmtId="166">
      <sharedItems containsSemiMixedTypes="0" containsString="0" containsNumber="1" minValue="6.6400000000000009E-4" maxValue="0.62275000000000003"/>
    </cacheField>
    <cacheField name="Produtividade (1/M2)" numFmtId="166">
      <sharedItems containsSemiMixedTypes="0" containsString="0" containsNumber="1" minValue="3.7037037037037035E-4" maxValue="6.2500000000000003E-3"/>
    </cacheField>
    <cacheField name="Frequência de Horas no Mês" numFmtId="166">
      <sharedItems containsSemiMixedTypes="0" containsString="0" containsNumber="1" minValue="8.8000000000000007" maxValue="220"/>
    </cacheField>
    <cacheField name="Jornada de Trabalho mês" numFmtId="166">
      <sharedItems containsSemiMixedTypes="0" containsString="0" containsNumber="1" minValue="4.5454545454545452E-3" maxValue="0.11363636363636363"/>
    </cacheField>
    <cacheField name="Proporção de Horas Trabalhadas pela Produtividade Adotada2" numFmtId="166">
      <sharedItems containsSemiMixedTypes="0" containsString="0" containsNumber="1" minValue="3.7037037037037035E-4" maxValue="6.2500000000000003E-3"/>
    </cacheField>
    <cacheField name=" Valor Total por Agente de Limpeza " numFmtId="44">
      <sharedItems containsSemiMixedTypes="0" containsString="0" containsNumber="1" minValue="2710.1714579257778" maxValue="2710.1714579257778"/>
    </cacheField>
    <cacheField name=" Valor Total por Líder de Serviços " numFmtId="44">
      <sharedItems containsSemiMixedTypes="0" containsString="0" containsNumber="1" minValue="3139.8850132792086" maxValue="3139.8850132792086"/>
    </cacheField>
    <cacheField name="Custo do M2 limpo pelo Agente" numFmtId="169">
      <sharedItems containsSemiMixedTypes="0" containsString="0" containsNumber="1" minValue="1.003767206639177" maxValue="16.93857161203611"/>
    </cacheField>
    <cacheField name="Custo do M2 limpo pelo Líder" numFmtId="169">
      <sharedItems containsSemiMixedTypes="0" containsString="0" containsNumber="1" minValue="0.23257049619727979" maxValue="3.9246271233290972"/>
    </cacheField>
    <cacheField name="Custo Total do M2 limpo" numFmtId="44">
      <sharedItems containsSemiMixedTypes="0" containsString="0" containsNumber="1" minValue="1.2363377028364568" maxValue="20.863198735365209"/>
    </cacheField>
    <cacheField name="Área Final para Remuneração" numFmtId="4">
      <sharedItems containsSemiMixedTypes="0" containsString="0" containsNumber="1" minValue="0.19920000000000002" maxValue="540"/>
    </cacheField>
    <cacheField name="Custo Mensal Estimado Agente" numFmtId="4">
      <sharedItems containsSemiMixedTypes="0" containsString="0" containsNumber="1" minValue="1.7995538480627165" maxValue="1687.759275423278"/>
    </cacheField>
    <cacheField name="Custo Mensal Estimado Lider" numFmtId="4">
      <sharedItems containsSemiMixedTypes="0" containsString="0" containsNumber="1" minValue="0.41695238558248338" maxValue="391.04984656851127"/>
    </cacheField>
    <cacheField name="Remuneração Mensal" numFmtId="44">
      <sharedItems containsSemiMixedTypes="0" containsString="0" containsNumber="1" minValue="2.2165062336451999" maxValue="2078.8091219917897"/>
    </cacheField>
    <cacheField name="Tempo Unitário Estimado das Atividades" numFmtId="170">
      <sharedItems containsSemiMixedTypes="0" containsNonDate="0" containsDate="1" containsString="0" minDate="1899-12-30T00:00:21" maxDate="1899-12-30T05:28:49"/>
    </cacheField>
    <cacheField name="Tempo Total Estimado das Atividades" numFmtId="170">
      <sharedItems containsSemiMixedTypes="0" containsNonDate="0" containsDate="1" containsString="0" minDate="1899-12-30T00:00:42" maxDate="1899-12-30T11:52:48"/>
    </cacheField>
    <cacheField name="Campo1" numFmtId="0" formula="#NAME?" databaseField="0"/>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B DA ROCHA" refreshedDate="44650.711441087966" createdVersion="6" refreshedVersion="7" minRefreshableVersion="3" recordCount="57" xr:uid="{00000000-000A-0000-FFFF-FFFF00000000}">
  <cacheSource type="worksheet">
    <worksheetSource ref="B1:AB1048576" sheet="PLANO DE TRABALHO - CALCULO"/>
  </cacheSource>
  <cacheFields count="28">
    <cacheField name="Local" numFmtId="0">
      <sharedItems containsBlank="1" count="64">
        <s v="Recepção"/>
        <s v=" Laboratório de Informática"/>
        <s v="Sala  de atendimento ao educando"/>
        <s v="Sala de Atendimento Psicológico"/>
        <s v="Sala de atendimento de saúde"/>
        <s v="Banheiro (Prédio Liceu)"/>
        <s v="Sala de aula 1 - ANEXO"/>
        <s v="Sala de aula 2 - ANEXO"/>
        <s v="Área externa (calçada 1)"/>
        <s v="Área externa (calçada 2)"/>
        <s v="Sala de aula 3 -Anexo"/>
        <s v="Sala de aula 4 -Anexo"/>
        <s v="Sala de aula 5 -Anexo"/>
        <s v="Sala de aula 6 -Anexo"/>
        <s v="Banheiro (prédio anexo)"/>
        <s v="Escadas principais"/>
        <s v="Corredor lateral"/>
        <s v="Laboratório de Informática"/>
        <s v="Banheiro (sala de manutenção dos computadore)s"/>
        <s v="Área de circulação (corredor) "/>
        <s v="Área próxima ao banheiro"/>
        <s v="Laboratório de manutenção computadores"/>
        <s v="Sala do Rack (servidor)"/>
        <s v="Caixa D'água"/>
        <s v="Vidraças (Prédio Liceu)"/>
        <s v="Área externa  (calçada 3)"/>
        <s v="Biblioteca "/>
        <s v="Sala de Estudo"/>
        <s v="Área Externa de circulação - (Centro de Referência) "/>
        <s v="Fachada"/>
        <s v="Área  externa (frente do prédio centro de referência "/>
        <s v="Sala dos professores"/>
        <s v=" Sala dos coordenadores"/>
        <s v="Sala do DEPE"/>
        <s v="Sala de adicionamento da merenda"/>
        <s v="Cozinha"/>
        <s v="Sala do DAP"/>
        <s v="Sala da Direção Geral"/>
        <s v="Vidraças (Prédio Centro de Referência)"/>
        <s v="Sala de aula 1  - (Prédio Centro de Referência)"/>
        <s v="Sala de aula 2  - (Prédio Centro de Referência)"/>
        <s v="Sala de aula 3  - (Prédio Centro de Referência)"/>
        <s v="Laboratório de informática - (Prédio Centro de Referência)"/>
        <s v="Banheiros masculino"/>
        <s v="Banheiros feminino"/>
        <s v="Depósito de materiais "/>
        <s v="Corredor central"/>
        <s v="Área de convivência"/>
        <m/>
        <s v="Hall" u="1"/>
        <s v="Escaladas Principais" u="1"/>
        <s v="Lixeira Principal" u="1"/>
        <s v="Garagem Coberta" u="1"/>
        <s v="Janelas internas" u="1"/>
        <s v="Corredor" u="1"/>
        <s v="Janelas externas" u="1"/>
        <s v="Copa" u="1"/>
        <s v="Elevador" u="1"/>
        <s v="Estacionamento com Calçamento" u="1"/>
        <s v="Estacionamento sem Calçamento" u="1"/>
        <s v="Banheiros" u="1"/>
        <s v="Cisterna" u="1"/>
        <s v="Salas" u="1"/>
        <s v="Banheiro Privativo" u="1"/>
      </sharedItems>
    </cacheField>
    <cacheField name="Atividades" numFmtId="0">
      <sharedItems containsBlank="1"/>
    </cacheField>
    <cacheField name="Pavimento" numFmtId="0">
      <sharedItems containsBlank="1"/>
    </cacheField>
    <cacheField name="Orientação" numFmtId="0">
      <sharedItems containsBlank="1" longText="1"/>
    </cacheField>
    <cacheField name="Superfície" numFmtId="0">
      <sharedItems containsBlank="1"/>
    </cacheField>
    <cacheField name="Tamanho Real" numFmtId="2">
      <sharedItems containsString="0" containsBlank="1" containsNumber="1" minValue="2.4900000000000002" maxValue="1578.154"/>
    </cacheField>
    <cacheField name="Periodicidade" numFmtId="0">
      <sharedItems containsBlank="1" count="5">
        <s v="01.Diária"/>
        <s v="02.Semanal"/>
        <s v="04.Mensal"/>
        <m/>
        <s v="05.Semestral" u="1"/>
      </sharedItems>
    </cacheField>
    <cacheField name="Produtividade" numFmtId="0">
      <sharedItems containsString="0" containsBlank="1" containsNumber="1" containsInteger="1" minValue="160" maxValue="2700"/>
    </cacheField>
    <cacheField name="Frequência" numFmtId="0">
      <sharedItems containsString="0" containsBlank="1" containsNumber="1" containsInteger="1" minValue="2" maxValue="3"/>
    </cacheField>
    <cacheField name="Rotina Diária" numFmtId="167">
      <sharedItems containsString="0" containsBlank="1" containsNumber="1" minValue="0.08" maxValue="3"/>
    </cacheField>
    <cacheField name="Área Efetiva em Diária" numFmtId="171">
      <sharedItems containsString="0" containsBlank="1" containsNumber="1" minValue="0.19920000000000002" maxValue="4252.1403999999993"/>
    </cacheField>
    <cacheField name="Mão de Obras" numFmtId="0">
      <sharedItems containsString="0" containsBlank="1" containsNumber="1" minValue="6.6400000000000009E-4" maxValue="5.0002919299881405"/>
    </cacheField>
    <cacheField name="Produtividade (1/M2)" numFmtId="0">
      <sharedItems containsString="0" containsBlank="1" containsNumber="1" minValue="3.7037037037037035E-4" maxValue="6.2500000000000003E-3"/>
    </cacheField>
    <cacheField name="Frequência de Horas no Mês" numFmtId="0">
      <sharedItems containsString="0" containsBlank="1" containsNumber="1" minValue="8.8000000000000007" maxValue="220"/>
    </cacheField>
    <cacheField name="Jornada de Trabalho mês" numFmtId="0">
      <sharedItems containsString="0" containsBlank="1" containsNumber="1" minValue="4.5454545454545452E-3" maxValue="0.11363636363636363"/>
    </cacheField>
    <cacheField name="Proporção de Horas Trabalhadas pela Produtividade Adotada2" numFmtId="0">
      <sharedItems containsString="0" containsBlank="1" containsNumber="1" minValue="3.7037037037037035E-4" maxValue="6.2500000000000003E-3"/>
    </cacheField>
    <cacheField name=" Valor Total por Agente de Limpeza " numFmtId="0">
      <sharedItems containsString="0" containsBlank="1" containsNumber="1" minValue="2710.1714579257778" maxValue="2710.1714579257791"/>
    </cacheField>
    <cacheField name=" Valor Total por Líder de Serviços " numFmtId="0">
      <sharedItems containsString="0" containsBlank="1" containsNumber="1" minValue="3139.8850132792086" maxValue="3139.8850132792109"/>
    </cacheField>
    <cacheField name="Custo do M2 limpo pelo Agente" numFmtId="0">
      <sharedItems containsString="0" containsBlank="1" containsNumber="1" minValue="1.003767206639177" maxValue="16.93857161203611"/>
    </cacheField>
    <cacheField name="Custo do M2 limpo pelo Líder" numFmtId="0">
      <sharedItems containsString="0" containsBlank="1" containsNumber="1" minValue="0.23257049619727979" maxValue="3.9246271233290972"/>
    </cacheField>
    <cacheField name="Custo Total do M2 limpo" numFmtId="0">
      <sharedItems containsString="0" containsBlank="1" containsNumber="1" minValue="1.2363377028364568" maxValue="20.863198735365209"/>
    </cacheField>
    <cacheField name="Área Final para Remuneração" numFmtId="4">
      <sharedItems containsString="0" containsBlank="1" containsNumber="1" minValue="0.19920000000000002" maxValue="4252.1403999999993"/>
    </cacheField>
    <cacheField name="Custo Mensal Estimado Agente" numFmtId="4">
      <sharedItems containsBlank="1" containsMixedTypes="1" containsNumber="1" minValue="1.7995538480627165" maxValue="13551.648469950458"/>
    </cacheField>
    <cacheField name="Custo Mensal Estimado Lider" numFmtId="4">
      <sharedItems containsBlank="1" containsMixedTypes="1" containsNumber="1" minValue="0.41695238558248338" maxValue="3139.885013279209"/>
    </cacheField>
    <cacheField name="Remuneração Mensal" numFmtId="0">
      <sharedItems containsString="0" containsBlank="1" containsNumber="1" minValue="2.2165062336451999" maxValue="16691.533483229672"/>
    </cacheField>
    <cacheField name="Tempo Unitário Estimado das Atividades" numFmtId="0">
      <sharedItems containsNonDate="0" containsDate="1" containsString="0" containsBlank="1" minDate="1899-12-30T00:00:21" maxDate="1899-12-31T20:00:09"/>
    </cacheField>
    <cacheField name="Tempo Total Estimado das Atividades" numFmtId="0">
      <sharedItems containsNonDate="0" containsDate="1" containsString="0" containsBlank="1" minDate="1899-12-30T00:00:42" maxDate="1900-01-04T04:34:46"/>
    </cacheField>
    <cacheField name="Campo1" numFmtId="0" formula="#NAME?"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9">
  <r>
    <s v="Diário"/>
    <x v="0"/>
    <s v="Recolher o lixo, varrer e passar pano"/>
    <s v="Térreo"/>
    <s v="Limpar a porta de vidro central_x000a__x000a_Retirar o lixo, acondicionando-o em sacos plásticos de cem litros, removendo-os para o local indicado pela Admnistração;_x000a__x000a_Limpar face externa  e interna quando necessário, em conformidade com as normas de segurança de trabalho, aplicando-lhes produtos antiembaçantes._x000a__x000a_Limpar o bebedouro"/>
    <x v="0"/>
    <n v="10.374000000000001"/>
    <s v="01.Diária"/>
    <n v="1200"/>
    <n v="3"/>
    <n v="3"/>
    <n v="31.122"/>
    <n v="2.5935E-2"/>
    <n v="8.3333333333333339E-4"/>
    <n v="220"/>
    <n v="4.5454545454545452E-3"/>
    <n v="8.3333333333333339E-4"/>
    <n v="2710.1714579257778"/>
    <n v="3139.8850132792086"/>
    <n v="2.2584762149381481"/>
    <n v="0.52328361644387966"/>
    <n v="2.7817598313820278"/>
    <n v="31.122"/>
    <n v="70.288296761305048"/>
    <n v="16.285632710966421"/>
    <n v="86.573929472271473"/>
    <d v="1899-12-30T00:13:42"/>
    <d v="1899-12-30T00:41:05"/>
  </r>
  <r>
    <s v="Diário"/>
    <x v="1"/>
    <s v="Recolher o lixo, varrer e passar pano"/>
    <s v="Térreo"/>
    <s v="Limpar e polir piso, as mesas, cadeiras, poltronas, armários, arquivos, prateleiras, peitoris, caixilhos das janelas e demais móveis existentes, extintores de incêndio e outros similares;_x000a_Limpar os  microcomputadores e demais equipamentos sobre as mesas, com flanelas e com produtos adequados._x000a_Retirar o lixo, acondicionando-o em sacos plásticos de cem litros, removendo-os para local indicado pela Administração;_x000a_Limpar os quadros em geral."/>
    <x v="1"/>
    <n v="40.85"/>
    <s v="01.Diária"/>
    <n v="390"/>
    <n v="3"/>
    <n v="3"/>
    <n v="122.55000000000001"/>
    <n v="0.31423076923076926"/>
    <n v="2.5641025641025641E-3"/>
    <n v="220"/>
    <n v="4.5454545454545452E-3"/>
    <n v="2.5641025641025641E-3"/>
    <n v="2710.1714579257778"/>
    <n v="3139.8850132792086"/>
    <n v="6.9491575844250715"/>
    <n v="1.6101034352119372"/>
    <n v="8.5592610196370096"/>
    <n v="122.55000000000001"/>
    <n v="851.61926197129264"/>
    <n v="197.31817598522292"/>
    <n v="1048.9374379565156"/>
    <d v="1899-12-30T02:45:55"/>
    <d v="1899-12-30T08:17:44"/>
  </r>
  <r>
    <s v="Diário"/>
    <x v="2"/>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Verificar e se necessário, limpar atrás, em cima ou embaixo dos móveis (armários, gaveteiros, mesas e etc.);"/>
    <x v="0"/>
    <n v="19.95"/>
    <s v="01.Diária"/>
    <n v="1200"/>
    <n v="3"/>
    <n v="3"/>
    <n v="59.849999999999994"/>
    <n v="4.9874999999999996E-2"/>
    <n v="8.3333333333333339E-4"/>
    <n v="220"/>
    <n v="4.5454545454545452E-3"/>
    <n v="8.3333333333333339E-4"/>
    <n v="2710.1714579257778"/>
    <n v="3139.8850132792086"/>
    <n v="2.2584762149381481"/>
    <n v="0.52328361644387966"/>
    <n v="2.7817598313820278"/>
    <n v="59.849999999999994"/>
    <n v="135.16980146404816"/>
    <n v="31.318524444166194"/>
    <n v="166.48832590821434"/>
    <d v="1899-12-30T00:26:20"/>
    <d v="1899-12-30T01:19:00"/>
  </r>
  <r>
    <s v="Diário"/>
    <x v="3"/>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
    <x v="0"/>
    <n v="10.07"/>
    <s v="01.Diária"/>
    <n v="1200"/>
    <n v="3"/>
    <n v="3"/>
    <n v="30.21"/>
    <n v="2.5174999999999999E-2"/>
    <n v="8.3333333333333339E-4"/>
    <n v="220"/>
    <n v="4.5454545454545452E-3"/>
    <n v="8.3333333333333339E-4"/>
    <n v="2710.1714579257778"/>
    <n v="3139.8850132792086"/>
    <n v="2.2584762149381481"/>
    <n v="0.52328361644387966"/>
    <n v="2.7817598313820278"/>
    <n v="30.21"/>
    <n v="68.228566453281459"/>
    <n v="15.808398052769604"/>
    <n v="84.036964506051063"/>
    <d v="1899-12-30T00:13:18"/>
    <d v="1899-12-30T00:39:53"/>
  </r>
  <r>
    <s v="Diário"/>
    <x v="4"/>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Verificar e se necessário, limpar atrás, em cima ou embaixo dos móveis (armários, gaveteiros, mesas e etc.);"/>
    <x v="0"/>
    <n v="11.4"/>
    <s v="01.Diária"/>
    <n v="1200"/>
    <n v="3"/>
    <n v="3"/>
    <n v="34.200000000000003"/>
    <n v="2.8500000000000001E-2"/>
    <n v="8.3333333333333339E-4"/>
    <n v="220"/>
    <n v="4.5454545454545452E-3"/>
    <n v="8.3333333333333339E-4"/>
    <n v="2710.1714579257778"/>
    <n v="3139.8850132792086"/>
    <n v="2.2584762149381481"/>
    <n v="0.52328361644387966"/>
    <n v="2.7817598313820278"/>
    <n v="34.200000000000003"/>
    <n v="77.239886550884677"/>
    <n v="17.896299682380686"/>
    <n v="95.136186233265363"/>
    <d v="1899-12-30T00:15:03"/>
    <d v="1899-12-30T00:45:09"/>
  </r>
  <r>
    <s v="Diário"/>
    <x v="5"/>
    <s v="Recolher o lixo, varrer e passar pano"/>
    <s v="Térreo"/>
    <s v="Limpar e desinfetar o chão dos banheiros com saneante domissanitário e coletar o respectivo lixo;  _x000a_Lavar ou Limpar os espelhos, pias, box, portas e paredes dos banheiros;_x000a_Abastecer com papel toalha os banheiros;_x000a_Abastecer com sabonete líquido e papel higiênico os banheiros;"/>
    <x v="2"/>
    <n v="13.8"/>
    <s v="01.Diária"/>
    <n v="300"/>
    <n v="3"/>
    <n v="3"/>
    <n v="41.400000000000006"/>
    <n v="0.13800000000000001"/>
    <n v="3.3333333333333335E-3"/>
    <n v="220"/>
    <n v="4.5454545454545452E-3"/>
    <n v="3.3333333333333335E-3"/>
    <n v="2710.1714579257778"/>
    <n v="3139.8850132792086"/>
    <n v="9.0339048597525924"/>
    <n v="2.0931344657755186"/>
    <n v="11.127039325528111"/>
    <n v="41.400000000000006"/>
    <n v="374.00366119375735"/>
    <n v="86.65576688310648"/>
    <n v="460.65942807686383"/>
    <d v="1899-12-30T01:12:52"/>
    <d v="1899-12-30T03:38:36"/>
  </r>
  <r>
    <s v="Diário"/>
    <x v="6"/>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40.020000000000003"/>
    <s v="01.Diária"/>
    <n v="1200"/>
    <n v="3"/>
    <n v="3"/>
    <n v="120.06"/>
    <n v="0.10005"/>
    <n v="8.3333333333333339E-4"/>
    <n v="220"/>
    <n v="4.5454545454545452E-3"/>
    <n v="8.3333333333333339E-4"/>
    <n v="2710.1714579257778"/>
    <n v="3139.8850132792086"/>
    <n v="2.2584762149381481"/>
    <n v="0.52328361644387966"/>
    <n v="2.7817598313820278"/>
    <n v="120.06"/>
    <n v="271.15265436547406"/>
    <n v="62.825430990252194"/>
    <n v="333.97808535572625"/>
    <d v="1899-12-30T00:52:50"/>
    <d v="1899-12-30T02:38:29"/>
  </r>
  <r>
    <s v="Diário"/>
    <x v="7"/>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39.67"/>
    <s v="01.Diária"/>
    <n v="1200"/>
    <n v="3"/>
    <n v="3"/>
    <n v="119.01"/>
    <n v="9.9174999999999999E-2"/>
    <n v="8.3333333333333339E-4"/>
    <n v="220"/>
    <n v="4.5454545454545452E-3"/>
    <n v="8.3333333333333339E-4"/>
    <n v="2710.1714579257778"/>
    <n v="3139.8850132792086"/>
    <n v="2.2584762149381481"/>
    <n v="0.52328361644387966"/>
    <n v="2.7817598313820278"/>
    <n v="119.01"/>
    <n v="268.78125433978903"/>
    <n v="62.275983192986118"/>
    <n v="331.05723753277516"/>
    <d v="1899-12-30T00:52:22"/>
    <d v="1899-12-30T02:37:06"/>
  </r>
  <r>
    <s v="Diário"/>
    <x v="8"/>
    <s v="Lavar"/>
    <s v="Térreo"/>
    <s v="Lavar com jato de água de alta pressão quando necessário._x000a__x000a_Enxugar sempre que chover."/>
    <x v="3"/>
    <n v="26.4"/>
    <s v="02.Semanal"/>
    <n v="2700"/>
    <n v="2"/>
    <n v="0.4"/>
    <n v="10.56"/>
    <n v="3.9111111111111109E-3"/>
    <n v="3.7037037037037035E-4"/>
    <n v="44"/>
    <n v="2.2727272727272728E-2"/>
    <n v="3.7037037037037035E-4"/>
    <n v="2710.1714579257778"/>
    <n v="3139.8850132792086"/>
    <n v="1.003767206639177"/>
    <n v="0.23257049619727979"/>
    <n v="1.2363377028364568"/>
    <n v="10.56"/>
    <n v="10.599781702109709"/>
    <n v="2.4559444398432748"/>
    <n v="13.055726141952984"/>
    <d v="1899-12-30T00:02:04"/>
    <d v="1899-12-30T00:04:08"/>
  </r>
  <r>
    <s v="Diário"/>
    <x v="9"/>
    <s v="Lavar"/>
    <s v="Térreo"/>
    <s v="Lavar com jato de água de alta pressão quando necessário._x000a__x000a_Enxugar sempre que chover."/>
    <x v="3"/>
    <n v="77"/>
    <s v="02.Semanal"/>
    <n v="2700"/>
    <n v="2"/>
    <n v="0.4"/>
    <n v="30.8"/>
    <n v="1.1407407407407408E-2"/>
    <n v="3.7037037037037035E-4"/>
    <n v="44"/>
    <n v="2.2727272727272728E-2"/>
    <n v="3.7037037037037035E-4"/>
    <n v="2710.1714579257778"/>
    <n v="3139.8850132792086"/>
    <n v="1.003767206639177"/>
    <n v="0.23257049619727979"/>
    <n v="1.2363377028364568"/>
    <n v="30.8"/>
    <n v="30.916029964486651"/>
    <n v="7.1631712828762177"/>
    <n v="38.079201247362874"/>
    <d v="1899-12-30T00:06:01"/>
    <d v="1899-12-30T00:12:03"/>
  </r>
  <r>
    <s v="Diário"/>
    <x v="10"/>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39"/>
    <s v="01.Diária"/>
    <n v="1200"/>
    <n v="3"/>
    <n v="3"/>
    <n v="117"/>
    <n v="9.7500000000000003E-2"/>
    <n v="8.3333333333333339E-4"/>
    <n v="220"/>
    <n v="4.5454545454545452E-3"/>
    <n v="8.3333333333333339E-4"/>
    <n v="2710.1714579257778"/>
    <n v="3139.8850132792086"/>
    <n v="2.2584762149381481"/>
    <n v="0.52328361644387966"/>
    <n v="2.7817598313820278"/>
    <n v="117"/>
    <n v="264.24171714776332"/>
    <n v="61.224183123933919"/>
    <n v="325.46590027169725"/>
    <d v="1899-12-30T00:51:29"/>
    <d v="1899-12-30T02:34:26"/>
  </r>
  <r>
    <s v="Diário"/>
    <x v="11"/>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39"/>
    <s v="01.Diária"/>
    <n v="1200"/>
    <n v="3"/>
    <n v="3"/>
    <n v="117"/>
    <n v="9.7500000000000003E-2"/>
    <n v="8.3333333333333339E-4"/>
    <n v="220"/>
    <n v="4.5454545454545452E-3"/>
    <n v="8.3333333333333339E-4"/>
    <n v="2710.1714579257778"/>
    <n v="3139.8850132792086"/>
    <n v="2.2584762149381481"/>
    <n v="0.52328361644387966"/>
    <n v="2.7817598313820278"/>
    <n v="117"/>
    <n v="264.24171714776332"/>
    <n v="61.224183123933919"/>
    <n v="325.46590027169725"/>
    <d v="1899-12-30T00:51:29"/>
    <d v="1899-12-30T02:34:26"/>
  </r>
  <r>
    <s v="Diário"/>
    <x v="12"/>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52.72"/>
    <s v="01.Diária"/>
    <n v="1200"/>
    <n v="3"/>
    <n v="3"/>
    <n v="158.16"/>
    <n v="0.1318"/>
    <n v="8.3333333333333339E-4"/>
    <n v="220"/>
    <n v="4.5454545454545452E-3"/>
    <n v="8.3333333333333339E-4"/>
    <n v="2710.1714579257778"/>
    <n v="3139.8850132792086"/>
    <n v="2.2584762149381481"/>
    <n v="0.52328361644387966"/>
    <n v="2.7817598313820278"/>
    <n v="158.16"/>
    <n v="357.20059815461752"/>
    <n v="82.762536776764009"/>
    <n v="439.96313493138149"/>
    <d v="1899-12-30T01:09:35"/>
    <d v="1899-12-30T03:28:46"/>
  </r>
  <r>
    <s v="Diário"/>
    <x v="13"/>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54.6"/>
    <s v="01.Diária"/>
    <n v="1200"/>
    <n v="3"/>
    <n v="3"/>
    <n v="163.80000000000001"/>
    <n v="0.13650000000000001"/>
    <n v="8.3333333333333339E-4"/>
    <n v="220"/>
    <n v="4.5454545454545452E-3"/>
    <n v="8.3333333333333339E-4"/>
    <n v="2710.1714579257778"/>
    <n v="3139.8850132792086"/>
    <n v="2.2584762149381481"/>
    <n v="0.52328361644387966"/>
    <n v="2.7817598313820278"/>
    <n v="163.80000000000001"/>
    <n v="369.93840400686867"/>
    <n v="85.713856373507497"/>
    <n v="455.65226038037616"/>
    <d v="1899-12-30T01:12:04"/>
    <d v="1899-12-30T03:36:13"/>
  </r>
  <r>
    <s v="Diário"/>
    <x v="14"/>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x v="2"/>
    <n v="7.15"/>
    <s v="01.Diária"/>
    <n v="300"/>
    <n v="3"/>
    <n v="3"/>
    <n v="21.450000000000003"/>
    <n v="7.1500000000000008E-2"/>
    <n v="3.3333333333333335E-3"/>
    <n v="220"/>
    <n v="4.5454545454545452E-3"/>
    <n v="3.3333333333333335E-3"/>
    <n v="2710.1714579257778"/>
    <n v="3139.8850132792086"/>
    <n v="9.0339048597525924"/>
    <n v="2.0931344657755186"/>
    <n v="11.127039325528111"/>
    <n v="21.450000000000003"/>
    <n v="193.77725924169314"/>
    <n v="44.897734290884884"/>
    <n v="238.67499353257801"/>
    <d v="1899-12-30T00:37:45"/>
    <d v="1899-12-30T01:53:15"/>
  </r>
  <r>
    <s v="Diário"/>
    <x v="15"/>
    <s v="Varrer e passar pano"/>
    <s v="1º Andar"/>
    <s v="Varrer e passar pano úmido com desinfetante em todos os degraus_x000a_Passar pano úmido com desinfetante em toda a extensão dos corrimãos."/>
    <x v="0"/>
    <n v="5.37"/>
    <s v="01.Diária"/>
    <n v="1200"/>
    <n v="3"/>
    <n v="3"/>
    <n v="16.11"/>
    <n v="1.3424999999999999E-2"/>
    <n v="8.3333333333333339E-4"/>
    <n v="220"/>
    <n v="4.5454545454545452E-3"/>
    <n v="8.3333333333333339E-4"/>
    <n v="2710.1714579257778"/>
    <n v="3139.8850132792086"/>
    <n v="2.2584762149381481"/>
    <n v="0.52328361644387966"/>
    <n v="2.7817598313820278"/>
    <n v="16.11"/>
    <n v="36.384051822653568"/>
    <n v="8.4300990609109014"/>
    <n v="44.814150883564466"/>
    <d v="1899-12-30T00:07:05"/>
    <d v="1899-12-30T00:21:16"/>
  </r>
  <r>
    <s v="Diário"/>
    <x v="16"/>
    <s v="Varrer e passar pano"/>
    <s v="1º Andar"/>
    <s v="Varrer e passar diariamene._x000a__x000a_Retirar o lixo sempre que necessário"/>
    <x v="0"/>
    <n v="15.8"/>
    <s v="01.Diária"/>
    <n v="1200"/>
    <n v="3"/>
    <n v="3"/>
    <n v="47.400000000000006"/>
    <n v="3.9500000000000007E-2"/>
    <n v="8.3333333333333339E-4"/>
    <n v="220"/>
    <n v="4.5454545454545452E-3"/>
    <n v="8.3333333333333339E-4"/>
    <n v="2710.1714579257778"/>
    <n v="3139.8850132792086"/>
    <n v="2.2584762149381481"/>
    <n v="0.52328361644387966"/>
    <n v="2.7817598313820278"/>
    <n v="47.400000000000006"/>
    <n v="107.05177258806823"/>
    <n v="24.803643419439901"/>
    <n v="131.85541600750813"/>
    <d v="1899-12-30T00:20:51"/>
    <d v="1899-12-30T01:02:34"/>
  </r>
  <r>
    <s v="Diário"/>
    <x v="17"/>
    <s v="Recolher o lixo, varrer e passar pano"/>
    <s v="1º Andar"/>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1"/>
    <n v="23.25"/>
    <s v="01.Diária"/>
    <n v="390"/>
    <n v="3"/>
    <n v="3"/>
    <n v="69.75"/>
    <n v="0.17884615384615385"/>
    <n v="2.5641025641025641E-3"/>
    <n v="220"/>
    <n v="4.5454545454545452E-3"/>
    <n v="2.5641025641025641E-3"/>
    <n v="2710.1714579257778"/>
    <n v="3139.8850132792086"/>
    <n v="6.9491575844250715"/>
    <n v="1.6101034352119372"/>
    <n v="8.5592610196370096"/>
    <n v="69.75"/>
    <n v="484.70374151364871"/>
    <n v="112.30471460603262"/>
    <n v="597.00845611968145"/>
    <d v="1899-12-30T01:34:26"/>
    <d v="1899-12-30T04:43:18"/>
  </r>
  <r>
    <s v="Diário"/>
    <x v="18"/>
    <s v="Recolher o lixo, varrer e passar pano"/>
    <s v="1º Andar"/>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x v="2"/>
    <n v="3.85"/>
    <s v="01.Diária"/>
    <n v="300"/>
    <n v="3"/>
    <n v="3"/>
    <n v="11.55"/>
    <n v="3.85E-2"/>
    <n v="3.3333333333333335E-3"/>
    <n v="220"/>
    <n v="4.5454545454545452E-3"/>
    <n v="3.3333333333333335E-3"/>
    <n v="2710.1714579257778"/>
    <n v="3139.8850132792086"/>
    <n v="9.0339048597525924"/>
    <n v="2.0931344657755186"/>
    <n v="11.127039325528111"/>
    <n v="11.55"/>
    <n v="104.34160113014245"/>
    <n v="24.17570307970724"/>
    <n v="128.5173042098497"/>
    <d v="1899-12-30T00:20:20"/>
    <d v="1899-12-30T01:00:59"/>
  </r>
  <r>
    <s v="Diário"/>
    <x v="19"/>
    <s v="Varrer e passar pano"/>
    <s v="1º Andar"/>
    <s v="Varrer e passar pano diariamente._x000a__x000a_Retirar o lixo sempre que necessário."/>
    <x v="0"/>
    <n v="25.84"/>
    <s v="01.Diária"/>
    <n v="1200"/>
    <n v="3"/>
    <n v="3"/>
    <n v="77.52"/>
    <n v="6.4599999999999991E-2"/>
    <n v="8.3333333333333339E-4"/>
    <n v="220"/>
    <n v="4.5454545454545452E-3"/>
    <n v="8.3333333333333339E-4"/>
    <n v="2710.1714579257778"/>
    <n v="3139.8850132792086"/>
    <n v="2.2584762149381481"/>
    <n v="0.52328361644387966"/>
    <n v="2.7817598313820278"/>
    <n v="77.52"/>
    <n v="175.07707618200524"/>
    <n v="40.564945946729551"/>
    <n v="215.64202212873479"/>
    <d v="1899-12-30T00:34:07"/>
    <d v="1899-12-30T01:42:20"/>
  </r>
  <r>
    <s v="Diário"/>
    <x v="20"/>
    <s v="Recolher o lixo, varrer e passar pano"/>
    <s v="1º Andar"/>
    <s v="Varrer e passar pano diariamente._x000a__x000a_Retirar o lixo sempre que necessário."/>
    <x v="0"/>
    <n v="7.03"/>
    <s v="01.Diária"/>
    <n v="1200"/>
    <n v="3"/>
    <n v="3"/>
    <n v="21.09"/>
    <n v="1.7575E-2"/>
    <n v="8.3333333333333339E-4"/>
    <n v="220"/>
    <n v="4.5454545454545452E-3"/>
    <n v="8.3333333333333339E-4"/>
    <n v="2710.1714579257778"/>
    <n v="3139.8850132792086"/>
    <n v="2.2584762149381481"/>
    <n v="0.52328361644387966"/>
    <n v="2.7817598313820278"/>
    <n v="21.09"/>
    <n v="47.631263373045542"/>
    <n v="11.036051470801421"/>
    <n v="58.667314843846967"/>
    <d v="1899-12-30T00:09:17"/>
    <d v="1899-12-30T00:27:50"/>
  </r>
  <r>
    <s v="Diário"/>
    <x v="21"/>
    <s v="Recolher o lixo, varrer e passar pano"/>
    <s v="1º Andar"/>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9.69"/>
    <s v="01.Diária"/>
    <n v="1200"/>
    <n v="3"/>
    <n v="3"/>
    <n v="29.07"/>
    <n v="2.4225E-2"/>
    <n v="8.3333333333333339E-4"/>
    <n v="220"/>
    <n v="4.5454545454545452E-3"/>
    <n v="8.3333333333333339E-4"/>
    <n v="2710.1714579257778"/>
    <n v="3139.8850132792086"/>
    <n v="2.2584762149381481"/>
    <n v="0.52328361644387966"/>
    <n v="2.7817598313820278"/>
    <n v="29.07"/>
    <n v="65.653903568251962"/>
    <n v="15.211854730023582"/>
    <n v="80.865758298275551"/>
    <d v="1899-12-30T00:12:47"/>
    <d v="1899-12-30T00:38:22"/>
  </r>
  <r>
    <s v="Diário"/>
    <x v="22"/>
    <s v="Varrer e passar pano"/>
    <s v="1º Andar"/>
    <s v="Limpar e polir piso, as mesas, cadeiras, poltronas, armários, arquivos, prateleiras, peitoris, caixilhos das janelas e demais móveis existentes, extintores de incêndio e outros similares;_x000a__x000a_Limpar os equipamentos de informáticas e demai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x v="0"/>
    <n v="7.9"/>
    <s v="01.Diária"/>
    <n v="1200"/>
    <n v="3"/>
    <n v="3"/>
    <n v="23.700000000000003"/>
    <n v="1.9750000000000004E-2"/>
    <n v="8.3333333333333339E-4"/>
    <n v="220"/>
    <n v="4.5454545454545452E-3"/>
    <n v="8.3333333333333339E-4"/>
    <n v="2710.1714579257778"/>
    <n v="3139.8850132792086"/>
    <n v="2.2584762149381481"/>
    <n v="0.52328361644387966"/>
    <n v="2.7817598313820278"/>
    <n v="23.700000000000003"/>
    <n v="53.525886294034116"/>
    <n v="12.40182170971995"/>
    <n v="65.927708003754063"/>
    <d v="1899-12-30T00:10:26"/>
    <d v="1899-12-30T00:31:17"/>
  </r>
  <r>
    <s v="Mensal"/>
    <x v="23"/>
    <s v="Lavar"/>
    <s v="1ºandar"/>
    <s v="Com o reservatório vazio, escovar as paredes e o fundo do reservatório com escova com cerdas de nylon ou piaçava e remover todo material desprendido. Pode ser utilizado esguicho de água nas paredes e no fundo e, nesse caso, as águas de lavagens devem ser descartadas através da tubulação de limpeza na galeria de água pluviais._x000a__x000a_Enxaguar todo o reservatório lançando o resíduo através da tubulação de limpeza, na galeria de águas pluviais._x000a__x000a_Encher a caixa e acrescente 1 litro de água sanitária para cada 1.000 (mil) litros de água. _x000a__x000a_Esperar 2 horas, feche a entrada de água e esvazie a caixa. Esta água servirá para limpar e desinfetar os canos."/>
    <x v="2"/>
    <n v="2.4900000000000002"/>
    <s v="04.Mensal"/>
    <n v="300"/>
    <n v="2"/>
    <n v="0.08"/>
    <n v="0.19920000000000002"/>
    <n v="6.6400000000000009E-4"/>
    <n v="3.3333333333333335E-3"/>
    <n v="8.8000000000000007"/>
    <n v="0.11363636363636363"/>
    <n v="3.3333333333333335E-3"/>
    <n v="2710.1714579257778"/>
    <n v="3139.8850132792086"/>
    <n v="9.0339048597525924"/>
    <n v="2.0931344657755186"/>
    <n v="11.127039325528111"/>
    <n v="0.19920000000000002"/>
    <n v="1.7995538480627165"/>
    <n v="0.41695238558248338"/>
    <n v="2.2165062336451999"/>
    <d v="1899-12-30T00:00:21"/>
    <d v="1899-12-30T00:00:42"/>
  </r>
  <r>
    <s v="Diário"/>
    <x v="24"/>
    <s v="Passar Pano"/>
    <s v="Térreo"/>
    <s v="limpar  e passar  pano com produto adequado para limpeza de vidraças."/>
    <x v="4"/>
    <n v="10.9"/>
    <s v="01.Diária"/>
    <n v="380"/>
    <n v="2"/>
    <n v="2"/>
    <n v="21.8"/>
    <n v="5.7368421052631582E-2"/>
    <n v="2.631578947368421E-3"/>
    <n v="220"/>
    <n v="4.5454545454545452E-3"/>
    <n v="2.631578947368421E-3"/>
    <n v="2710.1714579257778"/>
    <n v="3139.8850132792086"/>
    <n v="7.1320301524362568"/>
    <n v="1.6524745782438302"/>
    <n v="8.7845047306800872"/>
    <n v="21.8"/>
    <n v="155.4782573231104"/>
    <n v="36.023945805715499"/>
    <n v="191.5022031288259"/>
    <d v="1899-12-30T00:30:17"/>
    <d v="1899-12-30T01:00:35"/>
  </r>
  <r>
    <s v="Diário"/>
    <x v="25"/>
    <s v="Lavar"/>
    <s v="Térreo"/>
    <s v="Lavar com jato de água de alta pressão quando necessário._x000a__x000a_Enxugar sempre que chover."/>
    <x v="3"/>
    <n v="8.4499999999999993"/>
    <s v="02.Semanal"/>
    <n v="2700"/>
    <n v="2"/>
    <n v="0.4"/>
    <n v="3.38"/>
    <n v="1.2518518518518519E-3"/>
    <n v="3.7037037037037035E-4"/>
    <n v="44"/>
    <n v="2.2727272727272728E-2"/>
    <n v="3.7037037037037035E-4"/>
    <n v="2710.1714579257778"/>
    <n v="3139.8850132792086"/>
    <n v="1.003767206639177"/>
    <n v="0.23257049619727979"/>
    <n v="1.2363377028364568"/>
    <n v="3.38"/>
    <n v="3.3927331584404179"/>
    <n v="0.78608827714680563"/>
    <n v="4.1788214355872242"/>
    <d v="1899-12-30T00:00:40"/>
    <d v="1899-12-30T00:01:19"/>
  </r>
  <r>
    <s v="Diário"/>
    <x v="26"/>
    <s v="Recolher o lixo, varrer e passar pano"/>
    <s v="Térreo"/>
    <s v="Limpar e polir piso, as mesas, cadeiras, poltronas, armários, arquivos, prateleiras, peitoris, caixilhos das janelas e demais móveis existentes, extintores de incêndio e outros similares;_x000a__x000a_Limpar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x v="0"/>
    <n v="180"/>
    <s v="01.Diária"/>
    <n v="1200"/>
    <n v="3"/>
    <n v="3"/>
    <n v="540"/>
    <n v="0.45"/>
    <n v="8.3333333333333339E-4"/>
    <n v="220"/>
    <n v="4.5454545454545452E-3"/>
    <n v="8.3333333333333339E-4"/>
    <n v="2710.1714579257778"/>
    <n v="3139.8850132792086"/>
    <n v="2.2584762149381481"/>
    <n v="0.52328361644387966"/>
    <n v="2.7817598313820278"/>
    <n v="540"/>
    <n v="1219.5771560666001"/>
    <n v="282.57315287969504"/>
    <n v="1502.1503089462949"/>
    <d v="1899-12-30T03:57:36"/>
    <d v="1899-12-30T11:52:48"/>
  </r>
  <r>
    <s v="Diário"/>
    <x v="27"/>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x v="0"/>
    <n v="112.8"/>
    <s v="01.Diária"/>
    <n v="1200"/>
    <n v="3"/>
    <n v="3"/>
    <n v="338.4"/>
    <n v="0.28199999999999997"/>
    <n v="8.3333333333333339E-4"/>
    <n v="220"/>
    <n v="4.5454545454545452E-3"/>
    <n v="8.3333333333333339E-4"/>
    <n v="2710.1714579257778"/>
    <n v="3139.8850132792086"/>
    <n v="2.2584762149381481"/>
    <n v="0.52328361644387966"/>
    <n v="2.7817598313820278"/>
    <n v="338.4"/>
    <n v="764.26835113506922"/>
    <n v="177.07917580460887"/>
    <n v="941.34752693967812"/>
    <d v="1899-12-30T02:28:54"/>
    <d v="1899-12-30T07:26:41"/>
  </r>
  <r>
    <s v="Diário"/>
    <x v="28"/>
    <s v="Varrer e passar pano"/>
    <s v="Térreo"/>
    <s v="Varrer e passar diariamene._x000a__x000a_Enxugar sempre que chover."/>
    <x v="3"/>
    <n v="121.2"/>
    <s v="01.Diária"/>
    <n v="2700"/>
    <n v="3"/>
    <n v="3"/>
    <n v="363.6"/>
    <n v="0.13466666666666668"/>
    <n v="3.7037037037037035E-4"/>
    <n v="220"/>
    <n v="4.5454545454545452E-3"/>
    <n v="3.7037037037037035E-4"/>
    <n v="2710.1714579257778"/>
    <n v="3139.8850132792086"/>
    <n v="1.003767206639177"/>
    <n v="0.23257049619727979"/>
    <n v="1.2363377028364568"/>
    <n v="363.6"/>
    <n v="364.96975633400479"/>
    <n v="84.562632417330931"/>
    <n v="449.53238875133576"/>
    <d v="1899-12-30T01:11:06"/>
    <d v="1899-12-30T03:33:19"/>
  </r>
  <r>
    <s v="Diário"/>
    <x v="29"/>
    <s v="Varrer e passar pano"/>
    <s v="Térreo"/>
    <s v="Limpar placas de identificação, sinalização, letreiros e totens fixados em paredes, pisos e fachadas."/>
    <x v="5"/>
    <n v="11.21"/>
    <s v="01.Diária"/>
    <n v="160"/>
    <n v="2"/>
    <n v="2"/>
    <n v="22.42"/>
    <n v="0.140125"/>
    <n v="6.2500000000000003E-3"/>
    <n v="220"/>
    <n v="4.5454545454545452E-3"/>
    <n v="6.2500000000000003E-3"/>
    <n v="2710.1714579257778"/>
    <n v="3139.8850132792086"/>
    <n v="16.93857161203611"/>
    <n v="3.9246271233290972"/>
    <n v="20.863198735365209"/>
    <n v="22.42"/>
    <n v="379.76277554184963"/>
    <n v="87.990140105038364"/>
    <n v="467.75291564688803"/>
    <d v="1899-12-30T01:13:59"/>
    <d v="1899-12-30T02:27:58"/>
  </r>
  <r>
    <s v="Diário"/>
    <x v="30"/>
    <s v="Lavar"/>
    <s v="Térreo"/>
    <s v="Lavar com jato de água de alta pressão quando necessário._x000a__x000a_Enxugar sempre que chover."/>
    <x v="3"/>
    <n v="40.4"/>
    <s v="02.Semanal"/>
    <n v="2700"/>
    <n v="2"/>
    <n v="0.4"/>
    <n v="16.16"/>
    <n v="5.9851851851851854E-3"/>
    <n v="3.7037037037037035E-4"/>
    <n v="44"/>
    <n v="2.2727272727272728E-2"/>
    <n v="3.7037037037037035E-4"/>
    <n v="2710.1714579257778"/>
    <n v="3139.8850132792086"/>
    <n v="1.003767206639177"/>
    <n v="0.23257049619727979"/>
    <n v="1.2363377028364568"/>
    <n v="16.16"/>
    <n v="16.220878059289099"/>
    <n v="3.7583392185480413"/>
    <n v="19.979217277837144"/>
    <d v="1899-12-30T00:03:10"/>
    <d v="1899-12-30T00:06:19"/>
  </r>
  <r>
    <s v="Diário"/>
    <x v="31"/>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27"/>
    <s v="01.Diária"/>
    <n v="1200"/>
    <n v="3"/>
    <n v="3"/>
    <n v="81"/>
    <n v="6.7500000000000004E-2"/>
    <n v="8.3333333333333339E-4"/>
    <n v="220"/>
    <n v="4.5454545454545452E-3"/>
    <n v="8.3333333333333339E-4"/>
    <n v="2710.1714579257778"/>
    <n v="3139.8850132792086"/>
    <n v="2.2584762149381481"/>
    <n v="0.52328361644387966"/>
    <n v="2.7817598313820278"/>
    <n v="81"/>
    <n v="182.93657340998999"/>
    <n v="42.38597293195425"/>
    <n v="225.32254634194425"/>
    <d v="1899-12-30T00:35:38"/>
    <d v="1899-12-30T01:46:55"/>
  </r>
  <r>
    <s v="Diário"/>
    <x v="32"/>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x v="0"/>
    <n v="21.72"/>
    <s v="01.Diária"/>
    <n v="1200"/>
    <n v="3"/>
    <n v="3"/>
    <n v="65.16"/>
    <n v="5.4299999999999994E-2"/>
    <n v="8.3333333333333339E-4"/>
    <n v="220"/>
    <n v="4.5454545454545452E-3"/>
    <n v="8.3333333333333339E-4"/>
    <n v="2710.1714579257778"/>
    <n v="3139.8850132792086"/>
    <n v="2.2584762149381481"/>
    <n v="0.52328361644387966"/>
    <n v="2.7817598313820278"/>
    <n v="65.16"/>
    <n v="147.16231016536972"/>
    <n v="34.097160447483198"/>
    <n v="181.25947061285291"/>
    <d v="1899-12-30T00:28:40"/>
    <d v="1899-12-30T01:26:01"/>
  </r>
  <r>
    <s v="Diário"/>
    <x v="33"/>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23.52"/>
    <s v="01.Diária"/>
    <n v="1200"/>
    <n v="3"/>
    <n v="3"/>
    <n v="70.56"/>
    <n v="5.8800000000000005E-2"/>
    <n v="8.3333333333333339E-4"/>
    <n v="220"/>
    <n v="4.5454545454545452E-3"/>
    <n v="8.3333333333333339E-4"/>
    <n v="2710.1714579257778"/>
    <n v="3139.8850132792086"/>
    <n v="2.2584762149381481"/>
    <n v="0.52328361644387966"/>
    <n v="2.7817598313820278"/>
    <n v="70.56"/>
    <n v="159.35808172603572"/>
    <n v="36.922891976280148"/>
    <n v="196.28097370231589"/>
    <d v="1899-12-30T00:31:03"/>
    <d v="1899-12-30T01:33:08"/>
  </r>
  <r>
    <s v="Diário"/>
    <x v="34"/>
    <s v="Varrer e passar pano"/>
    <s v="Térreo"/>
    <s v="Varrer e passar o pano sempre que necessário."/>
    <x v="0"/>
    <n v="11.18"/>
    <s v="01.Diária"/>
    <n v="1200"/>
    <n v="3"/>
    <n v="3"/>
    <n v="33.54"/>
    <n v="2.7949999999999999E-2"/>
    <n v="8.3333333333333339E-4"/>
    <n v="220"/>
    <n v="4.5454545454545452E-3"/>
    <n v="8.3333333333333339E-4"/>
    <n v="2710.1714579257778"/>
    <n v="3139.8850132792086"/>
    <n v="2.2584762149381481"/>
    <n v="0.52328361644387966"/>
    <n v="2.7817598313820278"/>
    <n v="33.54"/>
    <n v="75.749292249025487"/>
    <n v="17.550932495527725"/>
    <n v="93.300224744553205"/>
    <d v="1899-12-30T00:14:45"/>
    <d v="1899-12-30T00:44:16"/>
  </r>
  <r>
    <s v="Diário"/>
    <x v="35"/>
    <s v="Recolher o lixo, varrer e passar pano"/>
    <s v="Térreo"/>
    <s v="Retirar o lixo, acondicionando-o em sacos plásticos de cem litros, removendo-os para local indicado pela Administração;                                                                                                                                                                                                 Retirar a poeria e gordura das paredes assim como outras sujeiras como teias de aranhas, traças, etc., com pano úmido e produtos antimicrobianos.                                                             "/>
    <x v="0"/>
    <n v="9.0299999999999994"/>
    <s v="01.Diária"/>
    <n v="1200"/>
    <n v="3"/>
    <n v="3"/>
    <n v="27.089999999999996"/>
    <n v="2.2574999999999998E-2"/>
    <n v="8.3333333333333339E-4"/>
    <n v="220"/>
    <n v="4.5454545454545452E-3"/>
    <n v="8.3333333333333339E-4"/>
    <n v="2710.1714579257778"/>
    <n v="3139.8850132792086"/>
    <n v="2.2584762149381481"/>
    <n v="0.52328361644387966"/>
    <n v="2.7817598313820278"/>
    <n v="27.089999999999996"/>
    <n v="61.182120662674421"/>
    <n v="14.175753169464699"/>
    <n v="75.35787383213912"/>
    <d v="1899-12-30T00:11:55"/>
    <d v="1899-12-30T00:35:46"/>
  </r>
  <r>
    <s v="Diário"/>
    <x v="36"/>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x v="0"/>
    <n v="23.79"/>
    <s v="01.Diária"/>
    <n v="1200"/>
    <n v="3"/>
    <n v="3"/>
    <n v="71.37"/>
    <n v="5.9475000000000007E-2"/>
    <n v="8.3333333333333339E-4"/>
    <n v="220"/>
    <n v="4.5454545454545452E-3"/>
    <n v="8.3333333333333339E-4"/>
    <n v="2710.1714579257778"/>
    <n v="3139.8850132792086"/>
    <n v="2.2584762149381481"/>
    <n v="0.52328361644387966"/>
    <n v="2.7817598313820278"/>
    <n v="71.37"/>
    <n v="161.18744746013564"/>
    <n v="37.346751705599694"/>
    <n v="198.53419916573534"/>
    <d v="1899-12-30T00:31:24"/>
    <d v="1899-12-30T01:34:13"/>
  </r>
  <r>
    <s v="Diário"/>
    <x v="37"/>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x v="0"/>
    <n v="17.7"/>
    <s v="01.Diária"/>
    <n v="1200"/>
    <n v="3"/>
    <n v="3"/>
    <n v="53.099999999999994"/>
    <n v="4.4249999999999998E-2"/>
    <n v="8.3333333333333339E-4"/>
    <n v="220"/>
    <n v="4.5454545454545452E-3"/>
    <n v="8.3333333333333339E-4"/>
    <n v="2710.1714579257778"/>
    <n v="3139.8850132792086"/>
    <n v="2.2584762149381481"/>
    <n v="0.52328361644387966"/>
    <n v="2.7817598313820278"/>
    <n v="53.099999999999994"/>
    <n v="119.92508701321565"/>
    <n v="27.786360033170006"/>
    <n v="147.71144704638567"/>
    <d v="1899-12-30T00:23:22"/>
    <d v="1899-12-30T01:10:06"/>
  </r>
  <r>
    <s v="Diário"/>
    <x v="38"/>
    <s v="Passar Pano"/>
    <s v="Térreo"/>
    <s v="Plimpar e passar  pano  com produto adequado para limpeza de vidraças"/>
    <x v="6"/>
    <n v="49.82"/>
    <s v="01.Diária"/>
    <n v="160"/>
    <n v="2"/>
    <n v="2"/>
    <n v="99.64"/>
    <n v="0.62275000000000003"/>
    <n v="6.2500000000000003E-3"/>
    <n v="220"/>
    <n v="4.5454545454545452E-3"/>
    <n v="6.2500000000000003E-3"/>
    <n v="2710.1714579257778"/>
    <n v="3139.8850132792086"/>
    <n v="16.93857161203611"/>
    <n v="3.9246271233290972"/>
    <n v="20.863198735365209"/>
    <n v="99.64"/>
    <n v="1687.759275423278"/>
    <n v="391.04984656851127"/>
    <n v="2078.8091219917897"/>
    <d v="1899-12-30T05:28:49"/>
    <d v="1899-12-30T10:57:37"/>
  </r>
  <r>
    <s v="Diário"/>
    <x v="39"/>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49.29"/>
    <s v="01.Diária"/>
    <n v="1200"/>
    <n v="3"/>
    <n v="3"/>
    <n v="147.87"/>
    <n v="0.123225"/>
    <n v="8.3333333333333339E-4"/>
    <n v="220"/>
    <n v="4.5454545454545452E-3"/>
    <n v="8.3333333333333339E-4"/>
    <n v="2710.1714579257778"/>
    <n v="3139.8850132792086"/>
    <n v="2.2584762149381481"/>
    <n v="0.52328361644387966"/>
    <n v="2.7817598313820278"/>
    <n v="147.87"/>
    <n v="333.96087790290397"/>
    <n v="77.377948363556484"/>
    <n v="411.33882626646044"/>
    <d v="1899-12-30T01:05:04"/>
    <d v="1899-12-30T03:15:11"/>
  </r>
  <r>
    <s v="Diário"/>
    <x v="40"/>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49.29"/>
    <s v="01.Diária"/>
    <n v="1200"/>
    <n v="3"/>
    <n v="3"/>
    <n v="147.87"/>
    <n v="0.123225"/>
    <n v="8.3333333333333339E-4"/>
    <n v="220"/>
    <n v="4.5454545454545452E-3"/>
    <n v="8.3333333333333339E-4"/>
    <n v="2710.1714579257778"/>
    <n v="3139.8850132792086"/>
    <n v="2.2584762149381481"/>
    <n v="0.52328361644387966"/>
    <n v="2.7817598313820278"/>
    <n v="147.87"/>
    <n v="333.96087790290397"/>
    <n v="77.377948363556484"/>
    <n v="411.33882626646044"/>
    <d v="1899-12-30T01:05:04"/>
    <d v="1899-12-30T03:15:11"/>
  </r>
  <r>
    <s v="Diário"/>
    <x v="41"/>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0"/>
    <n v="44.52"/>
    <s v="01.Diária"/>
    <n v="1200"/>
    <n v="3"/>
    <n v="3"/>
    <n v="133.56"/>
    <n v="0.1113"/>
    <n v="8.3333333333333339E-4"/>
    <n v="220"/>
    <n v="4.5454545454545452E-3"/>
    <n v="8.3333333333333339E-4"/>
    <n v="2710.1714579257778"/>
    <n v="3139.8850132792086"/>
    <n v="2.2584762149381481"/>
    <n v="0.52328361644387966"/>
    <n v="2.7817598313820278"/>
    <n v="133.56"/>
    <n v="301.64208326713907"/>
    <n v="69.889759812244563"/>
    <n v="371.53184307938363"/>
    <d v="1899-12-30T00:58:46"/>
    <d v="1899-12-30T02:56:18"/>
  </r>
  <r>
    <s v="Diário"/>
    <x v="42"/>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x v="1"/>
    <n v="45.36"/>
    <s v="01.Diária"/>
    <n v="396"/>
    <n v="3"/>
    <n v="3"/>
    <n v="136.07999999999998"/>
    <n v="0.34363636363636357"/>
    <n v="2.5252525252525255E-3"/>
    <n v="220"/>
    <n v="4.5454545454545452E-3"/>
    <n v="2.5252525252525255E-3"/>
    <n v="2710.1714579257778"/>
    <n v="3139.8850132792086"/>
    <n v="6.8438673179943885"/>
    <n v="1.5857079286178171"/>
    <n v="8.429575246612206"/>
    <n v="136.07999999999998"/>
    <n v="931.3134646326763"/>
    <n v="215.78313492631253"/>
    <n v="1147.0965995589888"/>
    <d v="1899-12-30T03:01:26"/>
    <d v="1899-12-30T09:04:19"/>
  </r>
  <r>
    <s v="Diário"/>
    <x v="43"/>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x v="2"/>
    <n v="13.53"/>
    <s v="01.Diária"/>
    <n v="300"/>
    <n v="3"/>
    <n v="3"/>
    <n v="40.589999999999996"/>
    <n v="0.13529999999999998"/>
    <n v="3.3333333333333335E-3"/>
    <n v="220"/>
    <n v="4.5454545454545452E-3"/>
    <n v="3.3333333333333335E-3"/>
    <n v="2710.1714579257778"/>
    <n v="3139.8850132792086"/>
    <n v="9.0339048597525924"/>
    <n v="2.0931344657755186"/>
    <n v="11.127039325528111"/>
    <n v="40.589999999999996"/>
    <n v="366.68619825735772"/>
    <n v="84.960327965828299"/>
    <n v="451.64652622318596"/>
    <d v="1899-12-30T01:11:26"/>
    <d v="1899-12-30T03:34:19"/>
  </r>
  <r>
    <s v="Diário"/>
    <x v="44"/>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x v="2"/>
    <n v="13.53"/>
    <s v="01.Diária"/>
    <n v="300"/>
    <n v="3"/>
    <n v="3"/>
    <n v="40.589999999999996"/>
    <n v="0.13529999999999998"/>
    <n v="3.3333333333333335E-3"/>
    <n v="220"/>
    <n v="4.5454545454545452E-3"/>
    <n v="3.3333333333333335E-3"/>
    <n v="2710.1714579257778"/>
    <n v="3139.8850132792086"/>
    <n v="9.0339048597525924"/>
    <n v="2.0931344657755186"/>
    <n v="11.127039325528111"/>
    <n v="40.589999999999996"/>
    <n v="366.68619825735772"/>
    <n v="84.960327965828299"/>
    <n v="451.64652622318596"/>
    <d v="1899-12-30T01:11:26"/>
    <d v="1899-12-30T03:34:19"/>
  </r>
  <r>
    <s v="Diário"/>
    <x v="45"/>
    <s v="Varrer e passar pano"/>
    <s v="Térreo"/>
    <s v="Varrer e passar pano sempre que necessário"/>
    <x v="0"/>
    <n v="3.6"/>
    <s v="01.Diária"/>
    <n v="1200"/>
    <n v="3"/>
    <n v="3"/>
    <n v="10.8"/>
    <n v="9.0000000000000011E-3"/>
    <n v="8.3333333333333339E-4"/>
    <n v="220"/>
    <n v="4.5454545454545452E-3"/>
    <n v="8.3333333333333339E-4"/>
    <n v="2710.1714579257778"/>
    <n v="3139.8850132792086"/>
    <n v="2.2584762149381481"/>
    <n v="0.52328361644387966"/>
    <n v="2.7817598313820278"/>
    <n v="10.8"/>
    <n v="24.391543121332003"/>
    <n v="5.6514630575939009"/>
    <n v="30.043006178925904"/>
    <d v="1899-12-30T00:04:45"/>
    <d v="1899-12-30T00:14:15"/>
  </r>
  <r>
    <s v="Diário"/>
    <x v="46"/>
    <s v="Varrer e passar pano"/>
    <s v="Térreo"/>
    <s v="Varrer e passar pano diariamente._x000a__x000a_Retirar lixo sempre que necessário"/>
    <x v="0"/>
    <n v="30.4"/>
    <s v="01.Diária"/>
    <n v="1200"/>
    <n v="3"/>
    <n v="3"/>
    <n v="91.199999999999989"/>
    <n v="7.5999999999999984E-2"/>
    <n v="8.3333333333333339E-4"/>
    <n v="220"/>
    <n v="4.5454545454545452E-3"/>
    <n v="8.3333333333333339E-4"/>
    <n v="2710.1714579257778"/>
    <n v="3139.8850132792086"/>
    <n v="2.2584762149381481"/>
    <n v="0.52328361644387966"/>
    <n v="2.7817598313820278"/>
    <n v="91.199999999999989"/>
    <n v="205.97303080235909"/>
    <n v="47.72346581968182"/>
    <n v="253.69649662204091"/>
    <d v="1899-12-30T00:40:08"/>
    <d v="1899-12-30T02:00:23"/>
  </r>
  <r>
    <s v="Diário"/>
    <x v="47"/>
    <s v="Varrer e passar pano"/>
    <s v="Térreo"/>
    <s v="Limpar e polir piso, as mesas, cadeiras, poltronas, armários, arquivos, prateleiras, peitoris, caixilhos das janelas e demais móveis existentes, extintores de incêndio e outros similares;_x000a__x000a_Retirar o lixo, acondicionando-o em sacos plásticos de cem litros, removendo-os para local indicado pela Administração;_x000a__x000a_Verificar e se necessário, limpar atrás, em cima ou embaixo dos móveis (armários, gaveteiros, mesas e etc.);"/>
    <x v="0"/>
    <n v="74.2"/>
    <s v="01.Diária"/>
    <n v="1200"/>
    <n v="3"/>
    <n v="3"/>
    <n v="222.60000000000002"/>
    <n v="0.18550000000000003"/>
    <n v="8.3333333333333339E-4"/>
    <n v="220"/>
    <n v="4.5454545454545452E-3"/>
    <n v="8.3333333333333339E-4"/>
    <n v="2710.1714579257778"/>
    <n v="3139.8850132792086"/>
    <n v="2.2584762149381481"/>
    <n v="0.52328361644387966"/>
    <n v="2.7817598313820278"/>
    <n v="222.60000000000002"/>
    <n v="502.73680544523182"/>
    <n v="116.48293302040763"/>
    <n v="619.21973846563947"/>
    <d v="1899-12-30T01:37:57"/>
    <d v="1899-12-30T04:53:50"/>
  </r>
  <r>
    <s v="Mensal"/>
    <x v="23"/>
    <s v="Lavar"/>
    <s v="Térreo"/>
    <s v="Com o reservatório vazio, escovar as paredes e o fundo do reservatório com escova com cerdas de nylon ou piaçava e remover todo material desprendido. Pode ser utilizado esguicho de água nas paredes e no fundo e, nesse caso, as águas de lavagens devem ser descartadas através da tubulação de limpeza na galeria de água pluviais._x000a__x000a_Enxaguar todo o reservatório lançando o resíduo através da tubulação de limpeza, na galeria de águas pluviais._x000a__x000a_Encher a caixa e acrescente 1 litro de água sanitária para cada 1.000 (mil) litros de água. _x000a__x000a_Esperar 2 horas, feche a entrada de água e esvazie a caixa. Esta água servirá para limpar e desinfetar os canos."/>
    <x v="2"/>
    <n v="2.4900000000000002"/>
    <s v="04.Mensal"/>
    <n v="300"/>
    <n v="2"/>
    <n v="0.08"/>
    <n v="0.19920000000000002"/>
    <n v="6.6400000000000009E-4"/>
    <n v="3.3333333333333335E-3"/>
    <n v="8.8000000000000007"/>
    <n v="0.11363636363636363"/>
    <n v="3.3333333333333335E-3"/>
    <n v="2710.1714579257778"/>
    <n v="3139.8850132792086"/>
    <n v="9.0339048597525924"/>
    <n v="2.0931344657755186"/>
    <n v="11.127039325528111"/>
    <n v="0.19920000000000002"/>
    <n v="1.7995538480627165"/>
    <n v="0.41695238558248338"/>
    <n v="2.2165062336451999"/>
    <d v="1899-12-30T00:00:21"/>
    <d v="1899-12-30T00:00:42"/>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7">
  <r>
    <x v="0"/>
    <s v="Recolher o lixo, varrer e passar pano"/>
    <s v="Térreo"/>
    <s v="Limpar a porta de vidro central_x000a__x000a_Retirar o lixo, acondicionando-o em sacos plásticos de cem litros, removendo-os para o local indicado pela Admnistração;_x000a__x000a_Limpar face externa  e interna quando necessário, em conformidade com as normas de segurança de trabalho, aplicando-lhes produtos antiembaçantes._x000a__x000a_Limpar o bebedouro"/>
    <s v="01.02.Pisos Frios"/>
    <n v="10.374000000000001"/>
    <x v="0"/>
    <n v="1200"/>
    <n v="3"/>
    <n v="3"/>
    <n v="31.122"/>
    <n v="2.5935E-2"/>
    <n v="8.3333333333333339E-4"/>
    <n v="220"/>
    <n v="4.5454545454545452E-3"/>
    <n v="8.3333333333333339E-4"/>
    <n v="2710.1714579257778"/>
    <n v="3139.8850132792086"/>
    <n v="2.2584762149381481"/>
    <n v="0.52328361644387966"/>
    <n v="2.7817598313820278"/>
    <n v="31.122"/>
    <n v="70.288296761305048"/>
    <n v="16.285632710966421"/>
    <n v="86.573929472271473"/>
    <d v="1899-12-30T00:13:42"/>
    <d v="1899-12-30T00:41:05"/>
  </r>
  <r>
    <x v="1"/>
    <s v="Recolher o lixo, varrer e passar pano"/>
    <s v="Térreo"/>
    <s v="Limpar e polir piso, as mesas, cadeiras, poltronas, armários, arquivos, prateleiras, peitoris, caixilhos das janelas e demais móveis existentes, extintores de incêndio e outros similares;_x000a_Limpar os  microcomputadores e demais equipamentos sobre as mesas, com flanelas e com produtos adequados._x000a_Retirar o lixo, acondicionando-o em sacos plásticos de cem litros, removendo-os para local indicado pela Administração;_x000a_Limpar os quadros em geral."/>
    <s v="01.02.Laboratórios"/>
    <n v="40.85"/>
    <x v="0"/>
    <n v="390"/>
    <n v="3"/>
    <n v="3"/>
    <n v="122.55000000000001"/>
    <n v="0.31423076923076926"/>
    <n v="2.5641025641025641E-3"/>
    <n v="220"/>
    <n v="4.5454545454545452E-3"/>
    <n v="2.5641025641025641E-3"/>
    <n v="2710.1714579257778"/>
    <n v="3139.8850132792086"/>
    <n v="6.9491575844250715"/>
    <n v="1.6101034352119372"/>
    <n v="8.5592610196370096"/>
    <n v="122.55000000000001"/>
    <n v="851.61926197129264"/>
    <n v="197.31817598522292"/>
    <n v="1048.9374379565156"/>
    <d v="1899-12-30T02:45:55"/>
    <d v="1899-12-30T08:17:44"/>
  </r>
  <r>
    <x v="2"/>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Verificar e se necessário, limpar atrás, em cima ou embaixo dos móveis (armários, gaveteiros, mesas e etc.);"/>
    <s v="01.02.Pisos Frios"/>
    <n v="19.95"/>
    <x v="0"/>
    <n v="1200"/>
    <n v="3"/>
    <n v="3"/>
    <n v="59.849999999999994"/>
    <n v="4.9874999999999996E-2"/>
    <n v="8.3333333333333339E-4"/>
    <n v="220"/>
    <n v="4.5454545454545452E-3"/>
    <n v="8.3333333333333339E-4"/>
    <n v="2710.1714579257778"/>
    <n v="3139.8850132792086"/>
    <n v="2.2584762149381481"/>
    <n v="0.52328361644387966"/>
    <n v="2.7817598313820278"/>
    <n v="59.849999999999994"/>
    <n v="135.16980146404816"/>
    <n v="31.318524444166194"/>
    <n v="166.48832590821434"/>
    <d v="1899-12-30T00:26:20"/>
    <d v="1899-12-30T01:19:00"/>
  </r>
  <r>
    <x v="3"/>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
    <s v="01.02.Pisos Frios"/>
    <n v="10.07"/>
    <x v="0"/>
    <n v="1200"/>
    <n v="3"/>
    <n v="3"/>
    <n v="30.21"/>
    <n v="2.5174999999999999E-2"/>
    <n v="8.3333333333333339E-4"/>
    <n v="220"/>
    <n v="4.5454545454545452E-3"/>
    <n v="8.3333333333333339E-4"/>
    <n v="2710.1714579257778"/>
    <n v="3139.8850132792086"/>
    <n v="2.2584762149381481"/>
    <n v="0.52328361644387966"/>
    <n v="2.7817598313820278"/>
    <n v="30.21"/>
    <n v="68.228566453281459"/>
    <n v="15.808398052769604"/>
    <n v="84.036964506051063"/>
    <d v="1899-12-30T00:13:18"/>
    <d v="1899-12-30T00:39:53"/>
  </r>
  <r>
    <x v="4"/>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Verificar e se necessário, limpar atrás, em cima ou embaixo dos móveis (armários, gaveteiros, mesas e etc.);"/>
    <s v="01.02.Pisos Frios"/>
    <n v="11.4"/>
    <x v="0"/>
    <n v="1200"/>
    <n v="3"/>
    <n v="3"/>
    <n v="34.200000000000003"/>
    <n v="2.8500000000000001E-2"/>
    <n v="8.3333333333333339E-4"/>
    <n v="220"/>
    <n v="4.5454545454545452E-3"/>
    <n v="8.3333333333333339E-4"/>
    <n v="2710.1714579257778"/>
    <n v="3139.8850132792086"/>
    <n v="2.2584762149381481"/>
    <n v="0.52328361644387966"/>
    <n v="2.7817598313820278"/>
    <n v="34.200000000000003"/>
    <n v="77.239886550884677"/>
    <n v="17.896299682380686"/>
    <n v="95.136186233265363"/>
    <d v="1899-12-30T00:15:03"/>
    <d v="1899-12-30T00:45:09"/>
  </r>
  <r>
    <x v="5"/>
    <s v="Recolher o lixo, varrer e passar pano"/>
    <s v="Térreo"/>
    <s v="Limpar e desinfetar o chão dos banheiros com saneante domissanitário e coletar o respectivo lixo;  _x000a_Lavar ou Limpar os espelhos, pias, box, portas e paredes dos banheiros;_x000a_Abastecer com papel toalha os banheiros;_x000a_Abastecer com sabonete líquido e papel higiênico os banheiros;"/>
    <s v="01.06.Banheiros"/>
    <n v="13.8"/>
    <x v="0"/>
    <n v="300"/>
    <n v="3"/>
    <n v="3"/>
    <n v="41.400000000000006"/>
    <n v="0.13800000000000001"/>
    <n v="3.3333333333333335E-3"/>
    <n v="220"/>
    <n v="4.5454545454545452E-3"/>
    <n v="3.3333333333333335E-3"/>
    <n v="2710.1714579257778"/>
    <n v="3139.8850132792086"/>
    <n v="9.0339048597525924"/>
    <n v="2.0931344657755186"/>
    <n v="11.127039325528111"/>
    <n v="41.400000000000006"/>
    <n v="374.00366119375735"/>
    <n v="86.65576688310648"/>
    <n v="460.65942807686383"/>
    <d v="1899-12-30T01:12:52"/>
    <d v="1899-12-30T03:38:36"/>
  </r>
  <r>
    <x v="6"/>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40.020000000000003"/>
    <x v="0"/>
    <n v="1200"/>
    <n v="3"/>
    <n v="3"/>
    <n v="120.06"/>
    <n v="0.10005"/>
    <n v="8.3333333333333339E-4"/>
    <n v="220"/>
    <n v="4.5454545454545452E-3"/>
    <n v="8.3333333333333339E-4"/>
    <n v="2710.1714579257778"/>
    <n v="3139.8850132792086"/>
    <n v="2.2584762149381481"/>
    <n v="0.52328361644387966"/>
    <n v="2.7817598313820278"/>
    <n v="120.06"/>
    <n v="271.15265436547406"/>
    <n v="62.825430990252194"/>
    <n v="333.97808535572625"/>
    <d v="1899-12-30T00:52:50"/>
    <d v="1899-12-30T02:38:29"/>
  </r>
  <r>
    <x v="7"/>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39.67"/>
    <x v="0"/>
    <n v="1200"/>
    <n v="3"/>
    <n v="3"/>
    <n v="119.01"/>
    <n v="9.9174999999999999E-2"/>
    <n v="8.3333333333333339E-4"/>
    <n v="220"/>
    <n v="4.5454545454545452E-3"/>
    <n v="8.3333333333333339E-4"/>
    <n v="2710.1714579257778"/>
    <n v="3139.8850132792086"/>
    <n v="2.2584762149381481"/>
    <n v="0.52328361644387966"/>
    <n v="2.7817598313820278"/>
    <n v="119.01"/>
    <n v="268.78125433978903"/>
    <n v="62.275983192986118"/>
    <n v="331.05723753277516"/>
    <d v="1899-12-30T00:52:22"/>
    <d v="1899-12-30T02:37:06"/>
  </r>
  <r>
    <x v="8"/>
    <s v="Lavar"/>
    <s v="Térreo"/>
    <s v="Lavar com jato de água de alta pressão quando necessário._x000a__x000a_Enxugar sempre que chover."/>
    <s v="02.01.Pisos pavimentados adjacentes e contíguos às edificações"/>
    <n v="26.4"/>
    <x v="1"/>
    <n v="2700"/>
    <n v="2"/>
    <n v="0.4"/>
    <n v="10.56"/>
    <n v="3.9111111111111109E-3"/>
    <n v="3.7037037037037035E-4"/>
    <n v="44"/>
    <n v="2.2727272727272728E-2"/>
    <n v="3.7037037037037035E-4"/>
    <n v="2710.1714579257778"/>
    <n v="3139.8850132792086"/>
    <n v="1.003767206639177"/>
    <n v="0.23257049619727979"/>
    <n v="1.2363377028364568"/>
    <n v="10.56"/>
    <n v="10.599781702109709"/>
    <n v="2.4559444398432748"/>
    <n v="13.055726141952984"/>
    <d v="1899-12-30T00:02:04"/>
    <d v="1899-12-30T00:04:08"/>
  </r>
  <r>
    <x v="9"/>
    <s v="Lavar"/>
    <s v="Térreo"/>
    <s v="Lavar com jato de água de alta pressão quando necessário._x000a__x000a_Enxugar sempre que chover."/>
    <s v="02.01.Pisos pavimentados adjacentes e contíguos às edificações"/>
    <n v="77"/>
    <x v="1"/>
    <n v="2700"/>
    <n v="2"/>
    <n v="0.4"/>
    <n v="30.8"/>
    <n v="1.1407407407407408E-2"/>
    <n v="3.7037037037037035E-4"/>
    <n v="44"/>
    <n v="2.2727272727272728E-2"/>
    <n v="3.7037037037037035E-4"/>
    <n v="2710.1714579257778"/>
    <n v="3139.8850132792086"/>
    <n v="1.003767206639177"/>
    <n v="0.23257049619727979"/>
    <n v="1.2363377028364568"/>
    <n v="30.8"/>
    <n v="30.916029964486651"/>
    <n v="7.1631712828762177"/>
    <n v="38.079201247362874"/>
    <d v="1899-12-30T00:06:01"/>
    <d v="1899-12-30T00:12:03"/>
  </r>
  <r>
    <x v="10"/>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39"/>
    <x v="0"/>
    <n v="1200"/>
    <n v="3"/>
    <n v="3"/>
    <n v="117"/>
    <n v="9.7500000000000003E-2"/>
    <n v="8.3333333333333339E-4"/>
    <n v="220"/>
    <n v="4.5454545454545452E-3"/>
    <n v="8.3333333333333339E-4"/>
    <n v="2710.1714579257778"/>
    <n v="3139.8850132792086"/>
    <n v="2.2584762149381481"/>
    <n v="0.52328361644387966"/>
    <n v="2.7817598313820278"/>
    <n v="117"/>
    <n v="264.24171714776332"/>
    <n v="61.224183123933919"/>
    <n v="325.46590027169725"/>
    <d v="1899-12-30T00:51:29"/>
    <d v="1899-12-30T02:34:26"/>
  </r>
  <r>
    <x v="11"/>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39"/>
    <x v="0"/>
    <n v="1200"/>
    <n v="3"/>
    <n v="3"/>
    <n v="117"/>
    <n v="9.7500000000000003E-2"/>
    <n v="8.3333333333333339E-4"/>
    <n v="220"/>
    <n v="4.5454545454545452E-3"/>
    <n v="8.3333333333333339E-4"/>
    <n v="2710.1714579257778"/>
    <n v="3139.8850132792086"/>
    <n v="2.2584762149381481"/>
    <n v="0.52328361644387966"/>
    <n v="2.7817598313820278"/>
    <n v="117"/>
    <n v="264.24171714776332"/>
    <n v="61.224183123933919"/>
    <n v="325.46590027169725"/>
    <d v="1899-12-30T00:51:29"/>
    <d v="1899-12-30T02:34:26"/>
  </r>
  <r>
    <x v="12"/>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52.72"/>
    <x v="0"/>
    <n v="1200"/>
    <n v="3"/>
    <n v="3"/>
    <n v="158.16"/>
    <n v="0.1318"/>
    <n v="8.3333333333333339E-4"/>
    <n v="220"/>
    <n v="4.5454545454545452E-3"/>
    <n v="8.3333333333333339E-4"/>
    <n v="2710.1714579257778"/>
    <n v="3139.8850132792086"/>
    <n v="2.2584762149381481"/>
    <n v="0.52328361644387966"/>
    <n v="2.7817598313820278"/>
    <n v="158.16"/>
    <n v="357.20059815461752"/>
    <n v="82.762536776764009"/>
    <n v="439.96313493138149"/>
    <d v="1899-12-30T01:09:35"/>
    <d v="1899-12-30T03:28:46"/>
  </r>
  <r>
    <x v="13"/>
    <s v="Recolher o lixo, varrer e passar pano"/>
    <s v="Térreo"/>
    <s v="Limpar e polir piso, as mesas, cadeiras, poltronas, armários, arquivos, prateleiras, peitoris, caixilhos das janelas e demais móveis existentes, extintores de incêndio e outros similares;_x000a__x000a_Limpar os projet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54.6"/>
    <x v="0"/>
    <n v="1200"/>
    <n v="3"/>
    <n v="3"/>
    <n v="163.80000000000001"/>
    <n v="0.13650000000000001"/>
    <n v="8.3333333333333339E-4"/>
    <n v="220"/>
    <n v="4.5454545454545452E-3"/>
    <n v="8.3333333333333339E-4"/>
    <n v="2710.1714579257778"/>
    <n v="3139.8850132792086"/>
    <n v="2.2584762149381481"/>
    <n v="0.52328361644387966"/>
    <n v="2.7817598313820278"/>
    <n v="163.80000000000001"/>
    <n v="369.93840400686867"/>
    <n v="85.713856373507497"/>
    <n v="455.65226038037616"/>
    <d v="1899-12-30T01:12:04"/>
    <d v="1899-12-30T03:36:13"/>
  </r>
  <r>
    <x v="14"/>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s v="01.06.Banheiros"/>
    <n v="7.15"/>
    <x v="0"/>
    <n v="300"/>
    <n v="3"/>
    <n v="3"/>
    <n v="21.450000000000003"/>
    <n v="7.1500000000000008E-2"/>
    <n v="3.3333333333333335E-3"/>
    <n v="220"/>
    <n v="4.5454545454545452E-3"/>
    <n v="3.3333333333333335E-3"/>
    <n v="2710.1714579257778"/>
    <n v="3139.8850132792086"/>
    <n v="9.0339048597525924"/>
    <n v="2.0931344657755186"/>
    <n v="11.127039325528111"/>
    <n v="21.450000000000003"/>
    <n v="193.77725924169314"/>
    <n v="44.897734290884884"/>
    <n v="238.67499353257801"/>
    <d v="1899-12-30T00:37:45"/>
    <d v="1899-12-30T01:53:15"/>
  </r>
  <r>
    <x v="15"/>
    <s v="Varrer e passar pano"/>
    <s v="1º Andar"/>
    <s v="Varrer e passar pano úmido com desinfetante em todos os degraus_x000a_Passar pano úmido com desinfetante em toda a extensão dos corrimãos."/>
    <s v="01.02.Pisos Frios"/>
    <n v="5.37"/>
    <x v="0"/>
    <n v="1200"/>
    <n v="3"/>
    <n v="3"/>
    <n v="16.11"/>
    <n v="1.3424999999999999E-2"/>
    <n v="8.3333333333333339E-4"/>
    <n v="220"/>
    <n v="4.5454545454545452E-3"/>
    <n v="8.3333333333333339E-4"/>
    <n v="2710.1714579257778"/>
    <n v="3139.8850132792086"/>
    <n v="2.2584762149381481"/>
    <n v="0.52328361644387966"/>
    <n v="2.7817598313820278"/>
    <n v="16.11"/>
    <n v="36.384051822653568"/>
    <n v="8.4300990609109014"/>
    <n v="44.814150883564466"/>
    <d v="1899-12-30T00:07:05"/>
    <d v="1899-12-30T00:21:16"/>
  </r>
  <r>
    <x v="16"/>
    <s v="Varrer e passar pano"/>
    <s v="1º Andar"/>
    <s v="Varrer e passar diariamene._x000a__x000a_Retirar o lixo sempre que necessário"/>
    <s v="01.02.Pisos Frios"/>
    <n v="15.8"/>
    <x v="0"/>
    <n v="1200"/>
    <n v="3"/>
    <n v="3"/>
    <n v="47.400000000000006"/>
    <n v="3.9500000000000007E-2"/>
    <n v="8.3333333333333339E-4"/>
    <n v="220"/>
    <n v="4.5454545454545452E-3"/>
    <n v="8.3333333333333339E-4"/>
    <n v="2710.1714579257778"/>
    <n v="3139.8850132792086"/>
    <n v="2.2584762149381481"/>
    <n v="0.52328361644387966"/>
    <n v="2.7817598313820278"/>
    <n v="47.400000000000006"/>
    <n v="107.05177258806823"/>
    <n v="24.803643419439901"/>
    <n v="131.85541600750813"/>
    <d v="1899-12-30T00:20:51"/>
    <d v="1899-12-30T01:02:34"/>
  </r>
  <r>
    <x v="17"/>
    <s v="Recolher o lixo, varrer e passar pano"/>
    <s v="1º Andar"/>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Laboratórios"/>
    <n v="23.25"/>
    <x v="0"/>
    <n v="390"/>
    <n v="3"/>
    <n v="3"/>
    <n v="69.75"/>
    <n v="0.17884615384615385"/>
    <n v="2.5641025641025641E-3"/>
    <n v="220"/>
    <n v="4.5454545454545452E-3"/>
    <n v="2.5641025641025641E-3"/>
    <n v="2710.1714579257778"/>
    <n v="3139.8850132792086"/>
    <n v="6.9491575844250715"/>
    <n v="1.6101034352119372"/>
    <n v="8.5592610196370096"/>
    <n v="69.75"/>
    <n v="484.70374151364871"/>
    <n v="112.30471460603262"/>
    <n v="597.00845611968145"/>
    <d v="1899-12-30T01:34:26"/>
    <d v="1899-12-30T04:43:18"/>
  </r>
  <r>
    <x v="18"/>
    <s v="Recolher o lixo, varrer e passar pano"/>
    <s v="1º Andar"/>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s v="01.06.Banheiros"/>
    <n v="3.85"/>
    <x v="0"/>
    <n v="300"/>
    <n v="3"/>
    <n v="3"/>
    <n v="11.55"/>
    <n v="3.85E-2"/>
    <n v="3.3333333333333335E-3"/>
    <n v="220"/>
    <n v="4.5454545454545452E-3"/>
    <n v="3.3333333333333335E-3"/>
    <n v="2710.1714579257778"/>
    <n v="3139.8850132792086"/>
    <n v="9.0339048597525924"/>
    <n v="2.0931344657755186"/>
    <n v="11.127039325528111"/>
    <n v="11.55"/>
    <n v="104.34160113014245"/>
    <n v="24.17570307970724"/>
    <n v="128.5173042098497"/>
    <d v="1899-12-30T00:20:20"/>
    <d v="1899-12-30T01:00:59"/>
  </r>
  <r>
    <x v="19"/>
    <s v="Varrer e passar pano"/>
    <s v="1º Andar"/>
    <s v="Varrer e passar pano diariamente._x000a__x000a_Retirar o lixo sempre que necessário."/>
    <s v="01.02.Pisos Frios"/>
    <n v="25.84"/>
    <x v="0"/>
    <n v="1200"/>
    <n v="3"/>
    <n v="3"/>
    <n v="77.52"/>
    <n v="6.4599999999999991E-2"/>
    <n v="8.3333333333333339E-4"/>
    <n v="220"/>
    <n v="4.5454545454545452E-3"/>
    <n v="8.3333333333333339E-4"/>
    <n v="2710.1714579257778"/>
    <n v="3139.8850132792086"/>
    <n v="2.2584762149381481"/>
    <n v="0.52328361644387966"/>
    <n v="2.7817598313820278"/>
    <n v="77.52"/>
    <n v="175.07707618200524"/>
    <n v="40.564945946729551"/>
    <n v="215.64202212873479"/>
    <d v="1899-12-30T00:34:07"/>
    <d v="1899-12-30T01:42:20"/>
  </r>
  <r>
    <x v="20"/>
    <s v="Recolher o lixo, varrer e passar pano"/>
    <s v="1º Andar"/>
    <s v="Varrer e passar pano diariamente._x000a__x000a_Retirar o lixo sempre que necessário."/>
    <s v="01.02.Pisos Frios"/>
    <n v="7.03"/>
    <x v="0"/>
    <n v="1200"/>
    <n v="3"/>
    <n v="3"/>
    <n v="21.09"/>
    <n v="1.7575E-2"/>
    <n v="8.3333333333333339E-4"/>
    <n v="220"/>
    <n v="4.5454545454545452E-3"/>
    <n v="8.3333333333333339E-4"/>
    <n v="2710.1714579257778"/>
    <n v="3139.8850132792086"/>
    <n v="2.2584762149381481"/>
    <n v="0.52328361644387966"/>
    <n v="2.7817598313820278"/>
    <n v="21.09"/>
    <n v="47.631263373045542"/>
    <n v="11.036051470801421"/>
    <n v="58.667314843846967"/>
    <d v="1899-12-30T00:09:17"/>
    <d v="1899-12-30T00:27:50"/>
  </r>
  <r>
    <x v="21"/>
    <s v="Recolher o lixo, varrer e passar pano"/>
    <s v="1º Andar"/>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9.69"/>
    <x v="0"/>
    <n v="1200"/>
    <n v="3"/>
    <n v="3"/>
    <n v="29.07"/>
    <n v="2.4225E-2"/>
    <n v="8.3333333333333339E-4"/>
    <n v="220"/>
    <n v="4.5454545454545452E-3"/>
    <n v="8.3333333333333339E-4"/>
    <n v="2710.1714579257778"/>
    <n v="3139.8850132792086"/>
    <n v="2.2584762149381481"/>
    <n v="0.52328361644387966"/>
    <n v="2.7817598313820278"/>
    <n v="29.07"/>
    <n v="65.653903568251962"/>
    <n v="15.211854730023582"/>
    <n v="80.865758298275551"/>
    <d v="1899-12-30T00:12:47"/>
    <d v="1899-12-30T00:38:22"/>
  </r>
  <r>
    <x v="22"/>
    <s v="Varrer e passar pano"/>
    <s v="1º Andar"/>
    <s v="Limpar e polir piso, as mesas, cadeiras, poltronas, armários, arquivos, prateleiras, peitoris, caixilhos das janelas e demais móveis existentes, extintores de incêndio e outros similares;_x000a__x000a_Limpar os equipamentos de informáticas e demai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s v="01.02.Pisos Frios"/>
    <n v="7.9"/>
    <x v="0"/>
    <n v="1200"/>
    <n v="3"/>
    <n v="3"/>
    <n v="23.700000000000003"/>
    <n v="1.9750000000000004E-2"/>
    <n v="8.3333333333333339E-4"/>
    <n v="220"/>
    <n v="4.5454545454545452E-3"/>
    <n v="8.3333333333333339E-4"/>
    <n v="2710.1714579257778"/>
    <n v="3139.8850132792086"/>
    <n v="2.2584762149381481"/>
    <n v="0.52328361644387966"/>
    <n v="2.7817598313820278"/>
    <n v="23.700000000000003"/>
    <n v="53.525886294034116"/>
    <n v="12.40182170971995"/>
    <n v="65.927708003754063"/>
    <d v="1899-12-30T00:10:26"/>
    <d v="1899-12-30T00:31:17"/>
  </r>
  <r>
    <x v="23"/>
    <s v="Lavar"/>
    <s v="1ºandar"/>
    <s v="Com o reservatório vazio, escovar as paredes e o fundo do reservatório com escova com cerdas de nylon ou piaçava e remover todo material desprendido. Pode ser utilizado esguicho de água nas paredes e no fundo e, nesse caso, as águas de lavagens devem ser descartadas através da tubulação de limpeza na galeria de água pluviais._x000a__x000a_Enxaguar todo o reservatório lançando o resíduo através da tubulação de limpeza, na galeria de águas pluviais._x000a__x000a_Encher a caixa e acrescente 1 litro de água sanitária para cada 1.000 (mil) litros de água. _x000a__x000a_Esperar 2 horas, feche a entrada de água e esvazie a caixa. Esta água servirá para limpar e desinfetar os canos."/>
    <s v="01.06.Banheiros"/>
    <n v="2.4900000000000002"/>
    <x v="2"/>
    <n v="300"/>
    <n v="2"/>
    <n v="0.08"/>
    <n v="0.19920000000000002"/>
    <n v="6.6400000000000009E-4"/>
    <n v="3.3333333333333335E-3"/>
    <n v="8.8000000000000007"/>
    <n v="0.11363636363636363"/>
    <n v="3.3333333333333335E-3"/>
    <n v="2710.1714579257778"/>
    <n v="3139.8850132792086"/>
    <n v="9.0339048597525924"/>
    <n v="2.0931344657755186"/>
    <n v="11.127039325528111"/>
    <n v="0.19920000000000002"/>
    <n v="1.7995538480627165"/>
    <n v="0.41695238558248338"/>
    <n v="2.2165062336451999"/>
    <d v="1899-12-30T00:00:21"/>
    <d v="1899-12-30T00:00:42"/>
  </r>
  <r>
    <x v="24"/>
    <s v="Passar Pano"/>
    <s v="Térreo"/>
    <s v="limpar  e passar  pano com produto adequado para limpeza de vidraças."/>
    <s v="03.03.Face interna"/>
    <n v="10.9"/>
    <x v="0"/>
    <n v="380"/>
    <n v="2"/>
    <n v="2"/>
    <n v="21.8"/>
    <n v="5.7368421052631582E-2"/>
    <n v="2.631578947368421E-3"/>
    <n v="220"/>
    <n v="4.5454545454545452E-3"/>
    <n v="2.631578947368421E-3"/>
    <n v="2710.1714579257778"/>
    <n v="3139.8850132792086"/>
    <n v="7.1320301524362568"/>
    <n v="1.6524745782438302"/>
    <n v="8.7845047306800872"/>
    <n v="21.8"/>
    <n v="155.4782573231104"/>
    <n v="36.023945805715499"/>
    <n v="191.5022031288259"/>
    <d v="1899-12-30T00:30:17"/>
    <d v="1899-12-30T01:00:35"/>
  </r>
  <r>
    <x v="25"/>
    <s v="Lavar"/>
    <s v="Térreo"/>
    <s v="Lavar com jato de água de alta pressão quando necessário._x000a__x000a_Enxugar sempre que chover."/>
    <s v="02.01.Pisos pavimentados adjacentes e contíguos às edificações"/>
    <n v="8.4499999999999993"/>
    <x v="1"/>
    <n v="2700"/>
    <n v="2"/>
    <n v="0.4"/>
    <n v="3.38"/>
    <n v="1.2518518518518519E-3"/>
    <n v="3.7037037037037035E-4"/>
    <n v="44"/>
    <n v="2.2727272727272728E-2"/>
    <n v="3.7037037037037035E-4"/>
    <n v="2710.1714579257778"/>
    <n v="3139.8850132792086"/>
    <n v="1.003767206639177"/>
    <n v="0.23257049619727979"/>
    <n v="1.2363377028364568"/>
    <n v="3.38"/>
    <n v="3.3927331584404179"/>
    <n v="0.78608827714680563"/>
    <n v="4.1788214355872242"/>
    <d v="1899-12-30T00:00:40"/>
    <d v="1899-12-30T00:01:19"/>
  </r>
  <r>
    <x v="26"/>
    <s v="Recolher o lixo, varrer e passar pano"/>
    <s v="Térreo"/>
    <s v="Limpar e polir piso, as mesas, cadeiras, poltronas, armários, arquivos, prateleiras, peitoris, caixilhos das janelas e demais móveis existentes, extintores de incêndio e outros similares;_x000a__x000a_Limpar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s v="01.02.Pisos Frios"/>
    <n v="180"/>
    <x v="0"/>
    <n v="1200"/>
    <n v="3"/>
    <n v="3"/>
    <n v="540"/>
    <n v="0.45"/>
    <n v="8.3333333333333339E-4"/>
    <n v="220"/>
    <n v="4.5454545454545452E-3"/>
    <n v="8.3333333333333339E-4"/>
    <n v="2710.1714579257778"/>
    <n v="3139.8850132792086"/>
    <n v="2.2584762149381481"/>
    <n v="0.52328361644387966"/>
    <n v="2.7817598313820278"/>
    <n v="540"/>
    <n v="1219.5771560666001"/>
    <n v="282.57315287969504"/>
    <n v="1502.1503089462949"/>
    <d v="1899-12-30T03:57:36"/>
    <d v="1899-12-30T11:52:48"/>
  </r>
  <r>
    <x v="27"/>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s v="01.02.Pisos Frios"/>
    <n v="112.8"/>
    <x v="0"/>
    <n v="1200"/>
    <n v="3"/>
    <n v="3"/>
    <n v="338.4"/>
    <n v="0.28199999999999997"/>
    <n v="8.3333333333333339E-4"/>
    <n v="220"/>
    <n v="4.5454545454545452E-3"/>
    <n v="8.3333333333333339E-4"/>
    <n v="2710.1714579257778"/>
    <n v="3139.8850132792086"/>
    <n v="2.2584762149381481"/>
    <n v="0.52328361644387966"/>
    <n v="2.7817598313820278"/>
    <n v="338.4"/>
    <n v="764.26835113506922"/>
    <n v="177.07917580460887"/>
    <n v="941.34752693967812"/>
    <d v="1899-12-30T02:28:54"/>
    <d v="1899-12-30T07:26:41"/>
  </r>
  <r>
    <x v="28"/>
    <s v="Varrer e passar pano"/>
    <s v="Térreo"/>
    <s v="Varrer e passar diariamene._x000a__x000a_Enxugar sempre que chover."/>
    <s v="02.01.Pisos pavimentados adjacentes e contíguos às edificações"/>
    <n v="121.2"/>
    <x v="0"/>
    <n v="2700"/>
    <n v="3"/>
    <n v="3"/>
    <n v="363.6"/>
    <n v="0.13466666666666668"/>
    <n v="3.7037037037037035E-4"/>
    <n v="220"/>
    <n v="4.5454545454545452E-3"/>
    <n v="3.7037037037037035E-4"/>
    <n v="2710.1714579257778"/>
    <n v="3139.8850132792086"/>
    <n v="1.003767206639177"/>
    <n v="0.23257049619727979"/>
    <n v="1.2363377028364568"/>
    <n v="363.6"/>
    <n v="364.96975633400479"/>
    <n v="84.562632417330931"/>
    <n v="449.53238875133576"/>
    <d v="1899-12-30T01:11:06"/>
    <d v="1899-12-30T03:33:19"/>
  </r>
  <r>
    <x v="29"/>
    <s v="Varrer e passar pano"/>
    <s v="Térreo"/>
    <s v="Limpar placas de identificação, sinalização, letreiros e totens fixados em paredes, pisos e fachadas."/>
    <s v="04.01.Fachadas Envidraçadas"/>
    <n v="11.21"/>
    <x v="0"/>
    <n v="160"/>
    <n v="2"/>
    <n v="2"/>
    <n v="22.42"/>
    <n v="0.140125"/>
    <n v="6.2500000000000003E-3"/>
    <n v="220"/>
    <n v="4.5454545454545452E-3"/>
    <n v="6.2500000000000003E-3"/>
    <n v="2710.1714579257778"/>
    <n v="3139.8850132792086"/>
    <n v="16.93857161203611"/>
    <n v="3.9246271233290972"/>
    <n v="20.863198735365209"/>
    <n v="22.42"/>
    <n v="379.76277554184963"/>
    <n v="87.990140105038364"/>
    <n v="467.75291564688803"/>
    <d v="1899-12-30T01:13:59"/>
    <d v="1899-12-30T02:27:58"/>
  </r>
  <r>
    <x v="30"/>
    <s v="Lavar"/>
    <s v="Térreo"/>
    <s v="Lavar com jato de água de alta pressão quando necessário._x000a__x000a_Enxugar sempre que chover."/>
    <s v="02.01.Pisos pavimentados adjacentes e contíguos às edificações"/>
    <n v="40.4"/>
    <x v="1"/>
    <n v="2700"/>
    <n v="2"/>
    <n v="0.4"/>
    <n v="16.16"/>
    <n v="5.9851851851851854E-3"/>
    <n v="3.7037037037037035E-4"/>
    <n v="44"/>
    <n v="2.2727272727272728E-2"/>
    <n v="3.7037037037037035E-4"/>
    <n v="2710.1714579257778"/>
    <n v="3139.8850132792086"/>
    <n v="1.003767206639177"/>
    <n v="0.23257049619727979"/>
    <n v="1.2363377028364568"/>
    <n v="16.16"/>
    <n v="16.220878059289099"/>
    <n v="3.7583392185480413"/>
    <n v="19.979217277837144"/>
    <d v="1899-12-30T00:03:10"/>
    <d v="1899-12-30T00:06:19"/>
  </r>
  <r>
    <x v="31"/>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27"/>
    <x v="0"/>
    <n v="1200"/>
    <n v="3"/>
    <n v="3"/>
    <n v="81"/>
    <n v="6.7500000000000004E-2"/>
    <n v="8.3333333333333339E-4"/>
    <n v="220"/>
    <n v="4.5454545454545452E-3"/>
    <n v="8.3333333333333339E-4"/>
    <n v="2710.1714579257778"/>
    <n v="3139.8850132792086"/>
    <n v="2.2584762149381481"/>
    <n v="0.52328361644387966"/>
    <n v="2.7817598313820278"/>
    <n v="81"/>
    <n v="182.93657340998999"/>
    <n v="42.38597293195425"/>
    <n v="225.32254634194425"/>
    <d v="1899-12-30T00:35:38"/>
    <d v="1899-12-30T01:46:55"/>
  </r>
  <r>
    <x v="32"/>
    <s v="Recolher o lixo, varrer e passar pano"/>
    <s v="Térreo"/>
    <s v="Limpar e polir piso, as mesas, cadeiras, poltronas, armários, arquivos, prateleiras, peitoris, caixilhos das janelas e demais móveis existentes, extintores de incêndio e outros similares;_x000a__x000a_Limpar os  microcomputadores e demais equipamentos sobre as mesas, com flanelas e com produtos adequados._x000a__x000a_Retirar o lixo, acondicionando-o em sacos plásticos de cem litros, removendo-os para local indicado pela Administração;_x000a__x000a_Verificar e se necessário, limpar atrás, em cima ou embaixo dos móveis (armários, gaveteiros, mesas e etc.);"/>
    <s v="01.02.Pisos Frios"/>
    <n v="21.72"/>
    <x v="0"/>
    <n v="1200"/>
    <n v="3"/>
    <n v="3"/>
    <n v="65.16"/>
    <n v="5.4299999999999994E-2"/>
    <n v="8.3333333333333339E-4"/>
    <n v="220"/>
    <n v="4.5454545454545452E-3"/>
    <n v="8.3333333333333339E-4"/>
    <n v="2710.1714579257778"/>
    <n v="3139.8850132792086"/>
    <n v="2.2584762149381481"/>
    <n v="0.52328361644387966"/>
    <n v="2.7817598313820278"/>
    <n v="65.16"/>
    <n v="147.16231016536972"/>
    <n v="34.097160447483198"/>
    <n v="181.25947061285291"/>
    <d v="1899-12-30T00:28:40"/>
    <d v="1899-12-30T01:26:01"/>
  </r>
  <r>
    <x v="33"/>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23.52"/>
    <x v="0"/>
    <n v="1200"/>
    <n v="3"/>
    <n v="3"/>
    <n v="70.56"/>
    <n v="5.8800000000000005E-2"/>
    <n v="8.3333333333333339E-4"/>
    <n v="220"/>
    <n v="4.5454545454545452E-3"/>
    <n v="8.3333333333333339E-4"/>
    <n v="2710.1714579257778"/>
    <n v="3139.8850132792086"/>
    <n v="2.2584762149381481"/>
    <n v="0.52328361644387966"/>
    <n v="2.7817598313820278"/>
    <n v="70.56"/>
    <n v="159.35808172603572"/>
    <n v="36.922891976280148"/>
    <n v="196.28097370231589"/>
    <d v="1899-12-30T00:31:03"/>
    <d v="1899-12-30T01:33:08"/>
  </r>
  <r>
    <x v="34"/>
    <s v="Varrer e passar pano"/>
    <s v="Térreo"/>
    <s v="Varrer e passar o pano sempre que necessário."/>
    <s v="01.02.Pisos Frios"/>
    <n v="11.18"/>
    <x v="0"/>
    <n v="1200"/>
    <n v="3"/>
    <n v="3"/>
    <n v="33.54"/>
    <n v="2.7949999999999999E-2"/>
    <n v="8.3333333333333339E-4"/>
    <n v="220"/>
    <n v="4.5454545454545452E-3"/>
    <n v="8.3333333333333339E-4"/>
    <n v="2710.1714579257778"/>
    <n v="3139.8850132792086"/>
    <n v="2.2584762149381481"/>
    <n v="0.52328361644387966"/>
    <n v="2.7817598313820278"/>
    <n v="33.54"/>
    <n v="75.749292249025487"/>
    <n v="17.550932495527725"/>
    <n v="93.300224744553205"/>
    <d v="1899-12-30T00:14:45"/>
    <d v="1899-12-30T00:44:16"/>
  </r>
  <r>
    <x v="35"/>
    <s v="Recolher o lixo, varrer e passar pano"/>
    <s v="Térreo"/>
    <s v="Retirar o lixo, acondicionando-o em sacos plásticos de cem litros, removendo-os para local indicado pela Administração;                                                                                                                                                                                                 Retirar a poeria e gordura das paredes assim como outras sujeiras como teias de aranhas, traças, etc., com pano úmido e produtos antimicrobianos.                                                             "/>
    <s v="01.02.Pisos Frios"/>
    <n v="9.0299999999999994"/>
    <x v="0"/>
    <n v="1200"/>
    <n v="3"/>
    <n v="3"/>
    <n v="27.089999999999996"/>
    <n v="2.2574999999999998E-2"/>
    <n v="8.3333333333333339E-4"/>
    <n v="220"/>
    <n v="4.5454545454545452E-3"/>
    <n v="8.3333333333333339E-4"/>
    <n v="2710.1714579257778"/>
    <n v="3139.8850132792086"/>
    <n v="2.2584762149381481"/>
    <n v="0.52328361644387966"/>
    <n v="2.7817598313820278"/>
    <n v="27.089999999999996"/>
    <n v="61.182120662674421"/>
    <n v="14.175753169464699"/>
    <n v="75.35787383213912"/>
    <d v="1899-12-30T00:11:55"/>
    <d v="1899-12-30T00:35:46"/>
  </r>
  <r>
    <x v="36"/>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s v="01.02.Pisos Frios"/>
    <n v="23.79"/>
    <x v="0"/>
    <n v="1200"/>
    <n v="3"/>
    <n v="3"/>
    <n v="71.37"/>
    <n v="5.9475000000000007E-2"/>
    <n v="8.3333333333333339E-4"/>
    <n v="220"/>
    <n v="4.5454545454545452E-3"/>
    <n v="8.3333333333333339E-4"/>
    <n v="2710.1714579257778"/>
    <n v="3139.8850132792086"/>
    <n v="2.2584762149381481"/>
    <n v="0.52328361644387966"/>
    <n v="2.7817598313820278"/>
    <n v="71.37"/>
    <n v="161.18744746013564"/>
    <n v="37.346751705599694"/>
    <n v="198.53419916573534"/>
    <d v="1899-12-30T00:31:24"/>
    <d v="1899-12-30T01:34:13"/>
  </r>
  <r>
    <x v="37"/>
    <s v="Recolher o lixo, varrer e passar pano"/>
    <s v="Térreo"/>
    <s v="Limpar e polir piso, as mesas, cadeiras, poltronas, armários, arquivos, prateleiras, peitoris, caixilhos das janelas e demais móveis existentes, extintores de incêndio e outros similares;_x000a__x000a_Limpar os aparelhos telefônicos, microcomputadores e demais equipamentos sobre as mesas, com flanelas e com produtos adequados._x000a__x000a_Retirar o lixo, acondicionando-o em sacos plásticos de cem litros, removendo-os para local indicado pela Administração;_x000a__x000a_Limpar os quadros em geral._x000a__x000a_Limpar os bebedouros._x000a__x000a_Verificar e se necessário, limpar atrás, em cima ou embaixo dos móveis (armários, gaveteiros, mesas e etc.);"/>
    <s v="01.02.Pisos Frios"/>
    <n v="17.7"/>
    <x v="0"/>
    <n v="1200"/>
    <n v="3"/>
    <n v="3"/>
    <n v="53.099999999999994"/>
    <n v="4.4249999999999998E-2"/>
    <n v="8.3333333333333339E-4"/>
    <n v="220"/>
    <n v="4.5454545454545452E-3"/>
    <n v="8.3333333333333339E-4"/>
    <n v="2710.1714579257778"/>
    <n v="3139.8850132792086"/>
    <n v="2.2584762149381481"/>
    <n v="0.52328361644387966"/>
    <n v="2.7817598313820278"/>
    <n v="53.099999999999994"/>
    <n v="119.92508701321565"/>
    <n v="27.786360033170006"/>
    <n v="147.71144704638567"/>
    <d v="1899-12-30T00:23:22"/>
    <d v="1899-12-30T01:10:06"/>
  </r>
  <r>
    <x v="38"/>
    <s v="Passar Pano"/>
    <s v="Térreo"/>
    <s v="Plimpar e passar  pano  com produto adequado para limpeza de vidraças"/>
    <s v="03.01.Face externa com exposição a situação de risco"/>
    <n v="49.82"/>
    <x v="0"/>
    <n v="160"/>
    <n v="2"/>
    <n v="2"/>
    <n v="99.64"/>
    <n v="0.62275000000000003"/>
    <n v="6.2500000000000003E-3"/>
    <n v="220"/>
    <n v="4.5454545454545452E-3"/>
    <n v="6.2500000000000003E-3"/>
    <n v="2710.1714579257778"/>
    <n v="3139.8850132792086"/>
    <n v="16.93857161203611"/>
    <n v="3.9246271233290972"/>
    <n v="20.863198735365209"/>
    <n v="99.64"/>
    <n v="1687.759275423278"/>
    <n v="391.04984656851127"/>
    <n v="2078.8091219917897"/>
    <d v="1899-12-30T05:28:49"/>
    <d v="1899-12-30T10:57:37"/>
  </r>
  <r>
    <x v="39"/>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49.29"/>
    <x v="0"/>
    <n v="1200"/>
    <n v="3"/>
    <n v="3"/>
    <n v="147.87"/>
    <n v="0.123225"/>
    <n v="8.3333333333333339E-4"/>
    <n v="220"/>
    <n v="4.5454545454545452E-3"/>
    <n v="8.3333333333333339E-4"/>
    <n v="2710.1714579257778"/>
    <n v="3139.8850132792086"/>
    <n v="2.2584762149381481"/>
    <n v="0.52328361644387966"/>
    <n v="2.7817598313820278"/>
    <n v="147.87"/>
    <n v="333.96087790290397"/>
    <n v="77.377948363556484"/>
    <n v="411.33882626646044"/>
    <d v="1899-12-30T01:05:04"/>
    <d v="1899-12-30T03:15:11"/>
  </r>
  <r>
    <x v="40"/>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49.29"/>
    <x v="0"/>
    <n v="1200"/>
    <n v="3"/>
    <n v="3"/>
    <n v="147.87"/>
    <n v="0.123225"/>
    <n v="8.3333333333333339E-4"/>
    <n v="220"/>
    <n v="4.5454545454545452E-3"/>
    <n v="8.3333333333333339E-4"/>
    <n v="2710.1714579257778"/>
    <n v="3139.8850132792086"/>
    <n v="2.2584762149381481"/>
    <n v="0.52328361644387966"/>
    <n v="2.7817598313820278"/>
    <n v="147.87"/>
    <n v="333.96087790290397"/>
    <n v="77.377948363556484"/>
    <n v="411.33882626646044"/>
    <d v="1899-12-30T01:05:04"/>
    <d v="1899-12-30T03:15:11"/>
  </r>
  <r>
    <x v="41"/>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Pisos Frios"/>
    <n v="44.52"/>
    <x v="0"/>
    <n v="1200"/>
    <n v="3"/>
    <n v="3"/>
    <n v="133.56"/>
    <n v="0.1113"/>
    <n v="8.3333333333333339E-4"/>
    <n v="220"/>
    <n v="4.5454545454545452E-3"/>
    <n v="8.3333333333333339E-4"/>
    <n v="2710.1714579257778"/>
    <n v="3139.8850132792086"/>
    <n v="2.2584762149381481"/>
    <n v="0.52328361644387966"/>
    <n v="2.7817598313820278"/>
    <n v="133.56"/>
    <n v="301.64208326713907"/>
    <n v="69.889759812244563"/>
    <n v="371.53184307938363"/>
    <d v="1899-12-30T00:58:46"/>
    <d v="1899-12-30T02:56:18"/>
  </r>
  <r>
    <x v="42"/>
    <s v="Recolher o lixo, varrer e passar pano"/>
    <s v="Térreo"/>
    <s v="Limpar e polir piso, as mesas, cadeiras, poltronas, armários, arquivos, prateleiras, peitoris, caixilhos das janelas e demais móveis existentes, extintores de incêndio e outros similares;_x000a__x000a_Limpar os projetores, microcomputadores e demais equipamentos sobre as mesas, com flanelas e com produtos adequados._x000a__x000a_Retirar o lixo, acondicionando-o em sacos plásticos de cem litros, removendo-os para local indicado pela Administração;_x000a__x000a_Limpar os quadros em geral._x000a__x000a_Verificar e se necessário, limpar atrás, em cima ou embaixo dos móveis (armários, gaveteiros, mesas e etc.);"/>
    <s v="01.02.Laboratórios"/>
    <n v="45.36"/>
    <x v="0"/>
    <n v="396"/>
    <n v="3"/>
    <n v="3"/>
    <n v="136.07999999999998"/>
    <n v="0.34363636363636357"/>
    <n v="2.5252525252525255E-3"/>
    <n v="220"/>
    <n v="4.5454545454545452E-3"/>
    <n v="2.5252525252525255E-3"/>
    <n v="2710.1714579257778"/>
    <n v="3139.8850132792086"/>
    <n v="6.8438673179943885"/>
    <n v="1.5857079286178171"/>
    <n v="8.429575246612206"/>
    <n v="136.07999999999998"/>
    <n v="931.3134646326763"/>
    <n v="215.78313492631253"/>
    <n v="1147.0965995589888"/>
    <d v="1899-12-30T03:01:26"/>
    <d v="1899-12-30T09:04:19"/>
  </r>
  <r>
    <x v="43"/>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s v="01.06.Banheiros"/>
    <n v="13.53"/>
    <x v="0"/>
    <n v="300"/>
    <n v="3"/>
    <n v="3"/>
    <n v="40.589999999999996"/>
    <n v="0.13529999999999998"/>
    <n v="3.3333333333333335E-3"/>
    <n v="220"/>
    <n v="4.5454545454545452E-3"/>
    <n v="3.3333333333333335E-3"/>
    <n v="2710.1714579257778"/>
    <n v="3139.8850132792086"/>
    <n v="9.0339048597525924"/>
    <n v="2.0931344657755186"/>
    <n v="11.127039325528111"/>
    <n v="40.589999999999996"/>
    <n v="366.68619825735772"/>
    <n v="84.960327965828299"/>
    <n v="451.64652622318596"/>
    <d v="1899-12-30T01:11:26"/>
    <d v="1899-12-30T03:34:19"/>
  </r>
  <r>
    <x v="44"/>
    <s v="Recolher o lixo, varrer e passar pano"/>
    <s v="Térreo"/>
    <s v="Limpar e desinfetar o chão dos banheiros com saneante domissanitário e coletar o respectivo lixo;_x000a_Lavar ou Limpar os espelhos, pias, box, portas e paredes dos banheiros;_x000a_Abastecer com papel toalha os banheiros;_x000a_Abastecer com sabonete líquido e papel higiênico os banheiros;"/>
    <s v="01.06.Banheiros"/>
    <n v="13.53"/>
    <x v="0"/>
    <n v="300"/>
    <n v="3"/>
    <n v="3"/>
    <n v="40.589999999999996"/>
    <n v="0.13529999999999998"/>
    <n v="3.3333333333333335E-3"/>
    <n v="220"/>
    <n v="4.5454545454545452E-3"/>
    <n v="3.3333333333333335E-3"/>
    <n v="2710.1714579257778"/>
    <n v="3139.8850132792086"/>
    <n v="9.0339048597525924"/>
    <n v="2.0931344657755186"/>
    <n v="11.127039325528111"/>
    <n v="40.589999999999996"/>
    <n v="366.68619825735772"/>
    <n v="84.960327965828299"/>
    <n v="451.64652622318596"/>
    <d v="1899-12-30T01:11:26"/>
    <d v="1899-12-30T03:34:19"/>
  </r>
  <r>
    <x v="45"/>
    <s v="Varrer e passar pano"/>
    <s v="Térreo"/>
    <s v="Varrer e passar pano sempre que necessário"/>
    <s v="01.02.Pisos Frios"/>
    <n v="3.6"/>
    <x v="0"/>
    <n v="1200"/>
    <n v="3"/>
    <n v="3"/>
    <n v="10.8"/>
    <n v="9.0000000000000011E-3"/>
    <n v="8.3333333333333339E-4"/>
    <n v="220"/>
    <n v="4.5454545454545452E-3"/>
    <n v="8.3333333333333339E-4"/>
    <n v="2710.1714579257778"/>
    <n v="3139.8850132792086"/>
    <n v="2.2584762149381481"/>
    <n v="0.52328361644387966"/>
    <n v="2.7817598313820278"/>
    <n v="10.8"/>
    <n v="24.391543121332003"/>
    <n v="5.6514630575939009"/>
    <n v="30.043006178925904"/>
    <d v="1899-12-30T00:04:45"/>
    <d v="1899-12-30T00:14:15"/>
  </r>
  <r>
    <x v="46"/>
    <s v="Varrer e passar pano"/>
    <s v="Térreo"/>
    <s v="Varrer e passar pano diariamente._x000a__x000a_Retirar lixo sempre que necessário"/>
    <s v="01.02.Pisos Frios"/>
    <n v="30.4"/>
    <x v="0"/>
    <n v="1200"/>
    <n v="3"/>
    <n v="3"/>
    <n v="91.199999999999989"/>
    <n v="7.5999999999999984E-2"/>
    <n v="8.3333333333333339E-4"/>
    <n v="220"/>
    <n v="4.5454545454545452E-3"/>
    <n v="8.3333333333333339E-4"/>
    <n v="2710.1714579257778"/>
    <n v="3139.8850132792086"/>
    <n v="2.2584762149381481"/>
    <n v="0.52328361644387966"/>
    <n v="2.7817598313820278"/>
    <n v="91.199999999999989"/>
    <n v="205.97303080235909"/>
    <n v="47.72346581968182"/>
    <n v="253.69649662204091"/>
    <d v="1899-12-30T00:40:08"/>
    <d v="1899-12-30T02:00:23"/>
  </r>
  <r>
    <x v="47"/>
    <s v="Varrer e passar pano"/>
    <s v="Térreo"/>
    <s v="Limpar e polir piso, as mesas, cadeiras, poltronas, armários, arquivos, prateleiras, peitoris, caixilhos das janelas e demais móveis existentes, extintores de incêndio e outros similares;_x000a__x000a_Retirar o lixo, acondicionando-o em sacos plásticos de cem litros, removendo-os para local indicado pela Administração;_x000a__x000a_Verificar e se necessário, limpar atrás, em cima ou embaixo dos móveis (armários, gaveteiros, mesas e etc.);"/>
    <s v="01.02.Pisos Frios"/>
    <n v="74.2"/>
    <x v="0"/>
    <n v="1200"/>
    <n v="3"/>
    <n v="3"/>
    <n v="222.60000000000002"/>
    <n v="0.18550000000000003"/>
    <n v="8.3333333333333339E-4"/>
    <n v="220"/>
    <n v="4.5454545454545452E-3"/>
    <n v="8.3333333333333339E-4"/>
    <n v="2710.1714579257778"/>
    <n v="3139.8850132792086"/>
    <n v="2.2584762149381481"/>
    <n v="0.52328361644387966"/>
    <n v="2.7817598313820278"/>
    <n v="222.60000000000002"/>
    <n v="502.73680544523182"/>
    <n v="116.48293302040763"/>
    <n v="619.21973846563947"/>
    <d v="1899-12-30T01:37:57"/>
    <d v="1899-12-30T04:53:50"/>
  </r>
  <r>
    <x v="23"/>
    <s v="Lavar"/>
    <s v="Térreo"/>
    <s v="Com o reservatório vazio, escovar as paredes e o fundo do reservatório com escova com cerdas de nylon ou piaçava e remover todo material desprendido. Pode ser utilizado esguicho de água nas paredes e no fundo e, nesse caso, as águas de lavagens devem ser descartadas através da tubulação de limpeza na galeria de água pluviais._x000a__x000a_Enxaguar todo o reservatório lançando o resíduo através da tubulação de limpeza, na galeria de águas pluviais._x000a__x000a_Encher a caixa e acrescente 1 litro de água sanitária para cada 1.000 (mil) litros de água. _x000a__x000a_Esperar 2 horas, feche a entrada de água e esvazie a caixa. Esta água servirá para limpar e desinfetar os canos."/>
    <s v="01.06.Banheiros"/>
    <n v="2.4900000000000002"/>
    <x v="2"/>
    <n v="300"/>
    <n v="2"/>
    <n v="0.08"/>
    <n v="0.19920000000000002"/>
    <n v="6.6400000000000009E-4"/>
    <n v="3.3333333333333335E-3"/>
    <n v="8.8000000000000007"/>
    <n v="0.11363636363636363"/>
    <n v="3.3333333333333335E-3"/>
    <n v="2710.1714579257778"/>
    <n v="3139.8850132792086"/>
    <n v="9.0339048597525924"/>
    <n v="2.0931344657755186"/>
    <n v="11.127039325528111"/>
    <n v="0.19920000000000002"/>
    <n v="1.7995538480627165"/>
    <n v="0.41695238558248338"/>
    <n v="2.2165062336451999"/>
    <d v="1899-12-30T00:00:21"/>
    <d v="1899-12-30T00:00:42"/>
  </r>
  <r>
    <x v="48"/>
    <m/>
    <m/>
    <m/>
    <m/>
    <n v="1578.154"/>
    <x v="3"/>
    <m/>
    <m/>
    <m/>
    <n v="4252.1403999999993"/>
    <n v="5.0002919299881405"/>
    <m/>
    <m/>
    <m/>
    <m/>
    <n v="2710.1714579257791"/>
    <n v="3139.8850132792109"/>
    <n v="4.0820467056714218"/>
    <n v="0.94580060153304102"/>
    <n v="5.0278473072044632"/>
    <n v="4252.1403999999993"/>
    <n v="13551.648469950458"/>
    <n v="3139.885013279209"/>
    <n v="16691.533483229672"/>
    <d v="1899-12-31T20:00:09"/>
    <d v="1900-01-04T04:34:46"/>
  </r>
  <r>
    <x v="48"/>
    <m/>
    <m/>
    <m/>
    <m/>
    <m/>
    <x v="3"/>
    <m/>
    <m/>
    <m/>
    <m/>
    <m/>
    <m/>
    <m/>
    <m/>
    <m/>
    <m/>
    <m/>
    <m/>
    <m/>
    <m/>
    <m/>
    <m/>
    <m/>
    <m/>
    <m/>
    <m/>
  </r>
  <r>
    <x v="48"/>
    <m/>
    <m/>
    <m/>
    <m/>
    <m/>
    <x v="3"/>
    <m/>
    <m/>
    <m/>
    <m/>
    <m/>
    <m/>
    <m/>
    <m/>
    <m/>
    <m/>
    <m/>
    <m/>
    <m/>
    <m/>
    <m/>
    <m/>
    <m/>
    <m/>
    <m/>
    <m/>
  </r>
  <r>
    <x v="48"/>
    <m/>
    <m/>
    <m/>
    <m/>
    <m/>
    <x v="3"/>
    <m/>
    <m/>
    <m/>
    <m/>
    <m/>
    <m/>
    <m/>
    <m/>
    <m/>
    <m/>
    <m/>
    <m/>
    <m/>
    <m/>
    <m/>
    <m/>
    <m/>
    <m/>
    <m/>
    <m/>
  </r>
  <r>
    <x v="48"/>
    <m/>
    <m/>
    <m/>
    <m/>
    <m/>
    <x v="3"/>
    <m/>
    <m/>
    <m/>
    <m/>
    <m/>
    <m/>
    <m/>
    <m/>
    <m/>
    <m/>
    <m/>
    <m/>
    <m/>
    <m/>
    <m/>
    <e v="#REF!"/>
    <e v="#REF!"/>
    <m/>
    <m/>
    <m/>
  </r>
  <r>
    <x v="48"/>
    <m/>
    <m/>
    <m/>
    <m/>
    <m/>
    <x v="3"/>
    <m/>
    <m/>
    <m/>
    <m/>
    <m/>
    <m/>
    <m/>
    <m/>
    <m/>
    <m/>
    <m/>
    <m/>
    <m/>
    <m/>
    <m/>
    <m/>
    <e v="#REF!"/>
    <m/>
    <m/>
    <m/>
  </r>
  <r>
    <x v="48"/>
    <m/>
    <m/>
    <m/>
    <m/>
    <m/>
    <x v="3"/>
    <m/>
    <m/>
    <m/>
    <m/>
    <m/>
    <m/>
    <m/>
    <m/>
    <m/>
    <m/>
    <m/>
    <m/>
    <m/>
    <m/>
    <m/>
    <e v="#REF!"/>
    <e v="#REF!"/>
    <m/>
    <m/>
    <m/>
  </r>
  <r>
    <x v="48"/>
    <m/>
    <m/>
    <m/>
    <m/>
    <m/>
    <x v="3"/>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Tabela dinâmica1" cacheId="137" applyNumberFormats="0" applyBorderFormats="0" applyFontFormats="0" applyPatternFormats="0" applyAlignmentFormats="0" applyWidthHeightFormats="1" dataCaption="Valores" updatedVersion="7" minRefreshableVersion="3" useAutoFormatting="1" itemPrintTitles="1" createdVersion="6" indent="0" outline="1" outlineData="1" multipleFieldFilters="0">
  <location ref="A3:K59" firstHeaderRow="0" firstDataRow="1" firstDataCol="1"/>
  <pivotFields count="29">
    <pivotField showAll="0"/>
    <pivotField axis="axisRow" showAll="0">
      <items count="88">
        <item x="1"/>
        <item x="32"/>
        <item x="30"/>
        <item x="19"/>
        <item x="47"/>
        <item x="25"/>
        <item x="8"/>
        <item x="9"/>
        <item x="28"/>
        <item x="20"/>
        <item m="1" x="59"/>
        <item m="1" x="64"/>
        <item x="14"/>
        <item x="5"/>
        <item x="18"/>
        <item m="1" x="81"/>
        <item m="1" x="75"/>
        <item m="1" x="50"/>
        <item x="44"/>
        <item x="43"/>
        <item m="1" x="57"/>
        <item m="1" x="65"/>
        <item x="26"/>
        <item x="23"/>
        <item m="1" x="83"/>
        <item m="1" x="78"/>
        <item m="1" x="67"/>
        <item m="1" x="76"/>
        <item m="1" x="62"/>
        <item x="46"/>
        <item x="16"/>
        <item m="1" x="85"/>
        <item x="35"/>
        <item m="1" x="82"/>
        <item x="45"/>
        <item m="1" x="86"/>
        <item m="1" x="77"/>
        <item m="1" x="68"/>
        <item x="15"/>
        <item m="1" x="51"/>
        <item m="1" x="55"/>
        <item m="1" x="70"/>
        <item m="1" x="71"/>
        <item x="29"/>
        <item m="1" x="53"/>
        <item m="1" x="48"/>
        <item m="1" x="63"/>
        <item m="1" x="60"/>
        <item m="1" x="66"/>
        <item x="17"/>
        <item x="42"/>
        <item x="21"/>
        <item m="1" x="54"/>
        <item m="1" x="52"/>
        <item x="0"/>
        <item m="1" x="84"/>
        <item x="2"/>
        <item m="1" x="74"/>
        <item x="37"/>
        <item x="34"/>
        <item x="4"/>
        <item x="3"/>
        <item x="39"/>
        <item x="6"/>
        <item x="40"/>
        <item x="7"/>
        <item x="41"/>
        <item x="10"/>
        <item x="11"/>
        <item x="12"/>
        <item x="13"/>
        <item x="27"/>
        <item m="1" x="79"/>
        <item m="1" x="73"/>
        <item m="1" x="56"/>
        <item x="36"/>
        <item x="33"/>
        <item x="22"/>
        <item x="31"/>
        <item m="1" x="80"/>
        <item m="1" x="69"/>
        <item m="1" x="61"/>
        <item m="1" x="58"/>
        <item m="1" x="72"/>
        <item x="38"/>
        <item x="24"/>
        <item m="1" x="49"/>
        <item t="default"/>
      </items>
    </pivotField>
    <pivotField showAll="0"/>
    <pivotField showAll="0"/>
    <pivotField showAll="0"/>
    <pivotField axis="axisRow" showAll="0">
      <items count="9">
        <item x="1"/>
        <item x="0"/>
        <item x="2"/>
        <item x="3"/>
        <item x="6"/>
        <item m="1" x="7"/>
        <item x="4"/>
        <item x="5"/>
        <item t="default"/>
      </items>
    </pivotField>
    <pivotField numFmtId="2" showAll="0"/>
    <pivotField showAll="0"/>
    <pivotField dataField="1" showAll="0"/>
    <pivotField showAll="0"/>
    <pivotField numFmtId="167" showAll="0"/>
    <pivotField dataField="1" numFmtId="171" showAll="0"/>
    <pivotField dataField="1" numFmtId="166" showAll="0"/>
    <pivotField numFmtId="166" showAll="0"/>
    <pivotField numFmtId="166" showAll="0"/>
    <pivotField numFmtId="166" showAll="0"/>
    <pivotField numFmtId="166" showAll="0"/>
    <pivotField numFmtId="44" showAll="0"/>
    <pivotField numFmtId="44" showAll="0"/>
    <pivotField dataField="1" numFmtId="169" showAll="0"/>
    <pivotField dataField="1" numFmtId="169" showAll="0"/>
    <pivotField dataField="1" numFmtId="44" showAll="0"/>
    <pivotField numFmtId="4" showAll="0"/>
    <pivotField dataField="1" numFmtId="4" showAll="0"/>
    <pivotField dataField="1" numFmtId="4" showAll="0"/>
    <pivotField dataField="1" numFmtId="44" showAll="0"/>
    <pivotField dataField="1" numFmtId="170" showAll="0"/>
    <pivotField numFmtId="170" showAll="0"/>
    <pivotField dragToRow="0" dragToCol="0" dragToPage="0" showAll="0" defaultSubtotal="0"/>
  </pivotFields>
  <rowFields count="2">
    <field x="5"/>
    <field x="1"/>
  </rowFields>
  <rowItems count="56">
    <i>
      <x/>
    </i>
    <i r="1">
      <x/>
    </i>
    <i r="1">
      <x v="49"/>
    </i>
    <i r="1">
      <x v="50"/>
    </i>
    <i>
      <x v="1"/>
    </i>
    <i r="1">
      <x v="1"/>
    </i>
    <i r="1">
      <x v="3"/>
    </i>
    <i r="1">
      <x v="4"/>
    </i>
    <i r="1">
      <x v="9"/>
    </i>
    <i r="1">
      <x v="22"/>
    </i>
    <i r="1">
      <x v="29"/>
    </i>
    <i r="1">
      <x v="30"/>
    </i>
    <i r="1">
      <x v="32"/>
    </i>
    <i r="1">
      <x v="34"/>
    </i>
    <i r="1">
      <x v="38"/>
    </i>
    <i r="1">
      <x v="51"/>
    </i>
    <i r="1">
      <x v="54"/>
    </i>
    <i r="1">
      <x v="56"/>
    </i>
    <i r="1">
      <x v="58"/>
    </i>
    <i r="1">
      <x v="59"/>
    </i>
    <i r="1">
      <x v="60"/>
    </i>
    <i r="1">
      <x v="61"/>
    </i>
    <i r="1">
      <x v="62"/>
    </i>
    <i r="1">
      <x v="63"/>
    </i>
    <i r="1">
      <x v="64"/>
    </i>
    <i r="1">
      <x v="65"/>
    </i>
    <i r="1">
      <x v="66"/>
    </i>
    <i r="1">
      <x v="67"/>
    </i>
    <i r="1">
      <x v="68"/>
    </i>
    <i r="1">
      <x v="69"/>
    </i>
    <i r="1">
      <x v="70"/>
    </i>
    <i r="1">
      <x v="71"/>
    </i>
    <i r="1">
      <x v="75"/>
    </i>
    <i r="1">
      <x v="76"/>
    </i>
    <i r="1">
      <x v="77"/>
    </i>
    <i r="1">
      <x v="78"/>
    </i>
    <i>
      <x v="2"/>
    </i>
    <i r="1">
      <x v="12"/>
    </i>
    <i r="1">
      <x v="13"/>
    </i>
    <i r="1">
      <x v="14"/>
    </i>
    <i r="1">
      <x v="18"/>
    </i>
    <i r="1">
      <x v="19"/>
    </i>
    <i r="1">
      <x v="23"/>
    </i>
    <i>
      <x v="3"/>
    </i>
    <i r="1">
      <x v="2"/>
    </i>
    <i r="1">
      <x v="5"/>
    </i>
    <i r="1">
      <x v="6"/>
    </i>
    <i r="1">
      <x v="7"/>
    </i>
    <i r="1">
      <x v="8"/>
    </i>
    <i>
      <x v="4"/>
    </i>
    <i r="1">
      <x v="84"/>
    </i>
    <i>
      <x v="6"/>
    </i>
    <i r="1">
      <x v="85"/>
    </i>
    <i>
      <x v="7"/>
    </i>
    <i r="1">
      <x v="43"/>
    </i>
    <i t="grand">
      <x/>
    </i>
  </rowItems>
  <colFields count="1">
    <field x="-2"/>
  </colFields>
  <colItems count="10">
    <i>
      <x/>
    </i>
    <i i="1">
      <x v="1"/>
    </i>
    <i i="2">
      <x v="2"/>
    </i>
    <i i="3">
      <x v="3"/>
    </i>
    <i i="4">
      <x v="4"/>
    </i>
    <i i="5">
      <x v="5"/>
    </i>
    <i i="6">
      <x v="6"/>
    </i>
    <i i="7">
      <x v="7"/>
    </i>
    <i i="8">
      <x v="8"/>
    </i>
    <i i="9">
      <x v="9"/>
    </i>
  </colItems>
  <dataFields count="10">
    <dataField name="Soma de Área Efetiva em Diária" fld="11" baseField="0" baseItem="0" numFmtId="2"/>
    <dataField name="Média de Produtividade" fld="8" subtotal="average" baseField="5" baseItem="6" numFmtId="2"/>
    <dataField name="Soma de Mão de Obras" fld="12" baseField="0" baseItem="0" numFmtId="2"/>
    <dataField name="Média de Custo do M2 limpo pelo Agente" fld="19" subtotal="average" baseField="5" baseItem="2" numFmtId="44"/>
    <dataField name="Média de Custo do M2 limpo pelo Líder" fld="20" subtotal="average" baseField="5" baseItem="1" numFmtId="44"/>
    <dataField name="Média de Custo Total do M2 limpo" fld="21" subtotal="average" baseField="5" baseItem="3" numFmtId="44"/>
    <dataField name="Soma de Custo Mensal Estimado Agente" fld="23" baseField="0" baseItem="0" numFmtId="44"/>
    <dataField name="Soma de Custo Mensal Estimado Lider" fld="24" baseField="0" baseItem="0" numFmtId="44"/>
    <dataField name="Soma de Remuneração Mensal" fld="25" baseField="0" baseItem="0" numFmtId="44"/>
    <dataField name="Soma de Tempo Unitário Estimado das Atividades" fld="26" baseField="5" baseItem="0" numFmtId="175"/>
  </dataFields>
  <formats count="52">
    <format dxfId="1522">
      <pivotArea type="all" dataOnly="0" outline="0" fieldPosition="0"/>
    </format>
    <format dxfId="1521">
      <pivotArea outline="0" collapsedLevelsAreSubtotals="1" fieldPosition="0"/>
    </format>
    <format dxfId="1520">
      <pivotArea field="5" type="button" dataOnly="0" labelOnly="1" outline="0" axis="axisRow" fieldPosition="0"/>
    </format>
    <format dxfId="1519">
      <pivotArea dataOnly="0" labelOnly="1" fieldPosition="0">
        <references count="1">
          <reference field="5" count="0"/>
        </references>
      </pivotArea>
    </format>
    <format dxfId="1518">
      <pivotArea dataOnly="0" labelOnly="1" grandRow="1" outline="0" fieldPosition="0"/>
    </format>
    <format dxfId="1517">
      <pivotArea dataOnly="0" labelOnly="1" outline="0" fieldPosition="0">
        <references count="1">
          <reference field="4294967294" count="2">
            <x v="0"/>
            <x v="1"/>
          </reference>
        </references>
      </pivotArea>
    </format>
    <format dxfId="1516">
      <pivotArea outline="0" collapsedLevelsAreSubtotals="1" fieldPosition="0">
        <references count="1">
          <reference field="4294967294" count="1" selected="0">
            <x v="2"/>
          </reference>
        </references>
      </pivotArea>
    </format>
    <format dxfId="1515">
      <pivotArea dataOnly="0" labelOnly="1" outline="0" fieldPosition="0">
        <references count="1">
          <reference field="4294967294" count="1">
            <x v="2"/>
          </reference>
        </references>
      </pivotArea>
    </format>
    <format dxfId="1514">
      <pivotArea outline="0" collapsedLevelsAreSubtotals="1" fieldPosition="0">
        <references count="1">
          <reference field="4294967294" count="1" selected="0">
            <x v="2"/>
          </reference>
        </references>
      </pivotArea>
    </format>
    <format dxfId="1513">
      <pivotArea dataOnly="0" labelOnly="1" outline="0" fieldPosition="0">
        <references count="1">
          <reference field="4294967294" count="1">
            <x v="2"/>
          </reference>
        </references>
      </pivotArea>
    </format>
    <format dxfId="1512">
      <pivotArea outline="0" collapsedLevelsAreSubtotals="1" fieldPosition="0">
        <references count="1">
          <reference field="4294967294" count="1" selected="0">
            <x v="2"/>
          </reference>
        </references>
      </pivotArea>
    </format>
    <format dxfId="1511">
      <pivotArea dataOnly="0" labelOnly="1" outline="0" fieldPosition="0">
        <references count="1">
          <reference field="4294967294" count="1">
            <x v="2"/>
          </reference>
        </references>
      </pivotArea>
    </format>
    <format dxfId="1510">
      <pivotArea outline="0" collapsedLevelsAreSubtotals="1" fieldPosition="0">
        <references count="1">
          <reference field="4294967294" count="1" selected="0">
            <x v="2"/>
          </reference>
        </references>
      </pivotArea>
    </format>
    <format dxfId="1509">
      <pivotArea dataOnly="0" labelOnly="1" outline="0" fieldPosition="0">
        <references count="1">
          <reference field="4294967294" count="1">
            <x v="2"/>
          </reference>
        </references>
      </pivotArea>
    </format>
    <format dxfId="1508">
      <pivotArea outline="0" collapsedLevelsAreSubtotals="1" fieldPosition="0">
        <references count="1">
          <reference field="4294967294" count="1" selected="0">
            <x v="2"/>
          </reference>
        </references>
      </pivotArea>
    </format>
    <format dxfId="1507">
      <pivotArea dataOnly="0" labelOnly="1" outline="0" fieldPosition="0">
        <references count="1">
          <reference field="4294967294" count="1">
            <x v="2"/>
          </reference>
        </references>
      </pivotArea>
    </format>
    <format dxfId="1506">
      <pivotArea outline="0" collapsedLevelsAreSubtotals="1" fieldPosition="0">
        <references count="1">
          <reference field="4294967294" count="3" selected="0">
            <x v="3"/>
            <x v="4"/>
            <x v="5"/>
          </reference>
        </references>
      </pivotArea>
    </format>
    <format dxfId="1505">
      <pivotArea dataOnly="0" labelOnly="1" outline="0" fieldPosition="0">
        <references count="1">
          <reference field="4294967294" count="3">
            <x v="3"/>
            <x v="4"/>
            <x v="5"/>
          </reference>
        </references>
      </pivotArea>
    </format>
    <format dxfId="1504">
      <pivotArea outline="0" collapsedLevelsAreSubtotals="1" fieldPosition="0">
        <references count="1">
          <reference field="4294967294" count="3" selected="0">
            <x v="3"/>
            <x v="4"/>
            <x v="5"/>
          </reference>
        </references>
      </pivotArea>
    </format>
    <format dxfId="1503">
      <pivotArea dataOnly="0" labelOnly="1" outline="0" fieldPosition="0">
        <references count="1">
          <reference field="4294967294" count="3">
            <x v="3"/>
            <x v="4"/>
            <x v="5"/>
          </reference>
        </references>
      </pivotArea>
    </format>
    <format dxfId="1502">
      <pivotArea outline="0" collapsedLevelsAreSubtotals="1" fieldPosition="0">
        <references count="1">
          <reference field="4294967294" count="3" selected="0">
            <x v="3"/>
            <x v="4"/>
            <x v="5"/>
          </reference>
        </references>
      </pivotArea>
    </format>
    <format dxfId="1501">
      <pivotArea outline="0" collapsedLevelsAreSubtotals="1" fieldPosition="0">
        <references count="1">
          <reference field="4294967294" count="1" selected="0">
            <x v="1"/>
          </reference>
        </references>
      </pivotArea>
    </format>
    <format dxfId="1500">
      <pivotArea dataOnly="0" labelOnly="1" outline="0" fieldPosition="0">
        <references count="1">
          <reference field="4294967294" count="1">
            <x v="1"/>
          </reference>
        </references>
      </pivotArea>
    </format>
    <format dxfId="1499">
      <pivotArea outline="0" collapsedLevelsAreSubtotals="1" fieldPosition="0">
        <references count="1">
          <reference field="4294967294" count="1" selected="0">
            <x v="0"/>
          </reference>
        </references>
      </pivotArea>
    </format>
    <format dxfId="1498">
      <pivotArea dataOnly="0" labelOnly="1" outline="0" fieldPosition="0">
        <references count="1">
          <reference field="4294967294" count="1">
            <x v="0"/>
          </reference>
        </references>
      </pivotArea>
    </format>
    <format dxfId="1497">
      <pivotArea outline="0" collapsedLevelsAreSubtotals="1" fieldPosition="0">
        <references count="1">
          <reference field="4294967294" count="1" selected="0">
            <x v="9"/>
          </reference>
        </references>
      </pivotArea>
    </format>
    <format dxfId="1496">
      <pivotArea dataOnly="0" labelOnly="1" outline="0" fieldPosition="0">
        <references count="1">
          <reference field="4294967294" count="1">
            <x v="9"/>
          </reference>
        </references>
      </pivotArea>
    </format>
    <format dxfId="1495">
      <pivotArea type="all" dataOnly="0" outline="0" fieldPosition="0"/>
    </format>
    <format dxfId="1494">
      <pivotArea outline="0" collapsedLevelsAreSubtotals="1" fieldPosition="0"/>
    </format>
    <format dxfId="1493">
      <pivotArea field="5" type="button" dataOnly="0" labelOnly="1" outline="0" axis="axisRow" fieldPosition="0"/>
    </format>
    <format dxfId="1492">
      <pivotArea dataOnly="0" labelOnly="1" fieldPosition="0">
        <references count="1">
          <reference field="5" count="0"/>
        </references>
      </pivotArea>
    </format>
    <format dxfId="1491">
      <pivotArea dataOnly="0" labelOnly="1" grandRow="1" outline="0" fieldPosition="0"/>
    </format>
    <format dxfId="1490">
      <pivotArea dataOnly="0" labelOnly="1" fieldPosition="0">
        <references count="2">
          <reference field="1" count="3">
            <x v="0"/>
            <x v="49"/>
            <x v="50"/>
          </reference>
          <reference field="5" count="1" selected="0">
            <x v="0"/>
          </reference>
        </references>
      </pivotArea>
    </format>
    <format dxfId="1489">
      <pivotArea dataOnly="0" labelOnly="1" fieldPosition="0">
        <references count="2">
          <reference field="1" count="31">
            <x v="1"/>
            <x v="3"/>
            <x v="4"/>
            <x v="9"/>
            <x v="22"/>
            <x v="29"/>
            <x v="30"/>
            <x v="32"/>
            <x v="34"/>
            <x v="38"/>
            <x v="51"/>
            <x v="54"/>
            <x v="56"/>
            <x v="58"/>
            <x v="59"/>
            <x v="60"/>
            <x v="61"/>
            <x v="62"/>
            <x v="63"/>
            <x v="64"/>
            <x v="65"/>
            <x v="66"/>
            <x v="67"/>
            <x v="68"/>
            <x v="69"/>
            <x v="70"/>
            <x v="71"/>
            <x v="75"/>
            <x v="76"/>
            <x v="77"/>
            <x v="78"/>
          </reference>
          <reference field="5" count="1" selected="0">
            <x v="1"/>
          </reference>
        </references>
      </pivotArea>
    </format>
    <format dxfId="1488">
      <pivotArea dataOnly="0" labelOnly="1" fieldPosition="0">
        <references count="2">
          <reference field="1" count="6">
            <x v="12"/>
            <x v="13"/>
            <x v="14"/>
            <x v="18"/>
            <x v="19"/>
            <x v="23"/>
          </reference>
          <reference field="5" count="1" selected="0">
            <x v="2"/>
          </reference>
        </references>
      </pivotArea>
    </format>
    <format dxfId="1487">
      <pivotArea dataOnly="0" labelOnly="1" fieldPosition="0">
        <references count="2">
          <reference field="1" count="5">
            <x v="2"/>
            <x v="5"/>
            <x v="6"/>
            <x v="7"/>
            <x v="8"/>
          </reference>
          <reference field="5" count="1" selected="0">
            <x v="3"/>
          </reference>
        </references>
      </pivotArea>
    </format>
    <format dxfId="1486">
      <pivotArea dataOnly="0" labelOnly="1" fieldPosition="0">
        <references count="2">
          <reference field="1" count="1">
            <x v="84"/>
          </reference>
          <reference field="5" count="1" selected="0">
            <x v="4"/>
          </reference>
        </references>
      </pivotArea>
    </format>
    <format dxfId="1485">
      <pivotArea dataOnly="0" labelOnly="1" fieldPosition="0">
        <references count="2">
          <reference field="1" count="1">
            <x v="85"/>
          </reference>
          <reference field="5" count="1" selected="0">
            <x v="6"/>
          </reference>
        </references>
      </pivotArea>
    </format>
    <format dxfId="1484">
      <pivotArea dataOnly="0" labelOnly="1" fieldPosition="0">
        <references count="2">
          <reference field="1" count="1">
            <x v="43"/>
          </reference>
          <reference field="5" count="1" selected="0">
            <x v="7"/>
          </reference>
        </references>
      </pivotArea>
    </format>
    <format dxfId="1483">
      <pivotArea dataOnly="0" labelOnly="1" outline="0" fieldPosition="0">
        <references count="1">
          <reference field="4294967294" count="10">
            <x v="0"/>
            <x v="1"/>
            <x v="2"/>
            <x v="3"/>
            <x v="4"/>
            <x v="5"/>
            <x v="6"/>
            <x v="7"/>
            <x v="8"/>
            <x v="9"/>
          </reference>
        </references>
      </pivotArea>
    </format>
    <format dxfId="1482">
      <pivotArea field="5" type="button" dataOnly="0" labelOnly="1" outline="0" axis="axisRow" fieldPosition="0"/>
    </format>
    <format dxfId="1481">
      <pivotArea dataOnly="0" labelOnly="1" outline="0" fieldPosition="0">
        <references count="1">
          <reference field="4294967294" count="10">
            <x v="0"/>
            <x v="1"/>
            <x v="2"/>
            <x v="3"/>
            <x v="4"/>
            <x v="5"/>
            <x v="6"/>
            <x v="7"/>
            <x v="8"/>
            <x v="9"/>
          </reference>
        </references>
      </pivotArea>
    </format>
    <format dxfId="1480">
      <pivotArea field="5" type="button" dataOnly="0" labelOnly="1" outline="0" axis="axisRow" fieldPosition="0"/>
    </format>
    <format dxfId="1479">
      <pivotArea dataOnly="0" labelOnly="1" outline="0" fieldPosition="0">
        <references count="1">
          <reference field="4294967294" count="10">
            <x v="0"/>
            <x v="1"/>
            <x v="2"/>
            <x v="3"/>
            <x v="4"/>
            <x v="5"/>
            <x v="6"/>
            <x v="7"/>
            <x v="8"/>
            <x v="9"/>
          </reference>
        </references>
      </pivotArea>
    </format>
    <format dxfId="1478">
      <pivotArea outline="0" collapsedLevelsAreSubtotals="1" fieldPosition="0">
        <references count="1">
          <reference field="4294967294" count="3" selected="0">
            <x v="6"/>
            <x v="7"/>
            <x v="8"/>
          </reference>
        </references>
      </pivotArea>
    </format>
    <format dxfId="1477">
      <pivotArea dataOnly="0" labelOnly="1" outline="0" fieldPosition="0">
        <references count="1">
          <reference field="4294967294" count="3">
            <x v="6"/>
            <x v="7"/>
            <x v="8"/>
          </reference>
        </references>
      </pivotArea>
    </format>
    <format dxfId="1476">
      <pivotArea outline="0" collapsedLevelsAreSubtotals="1" fieldPosition="0">
        <references count="1">
          <reference field="4294967294" count="3" selected="0">
            <x v="6"/>
            <x v="7"/>
            <x v="8"/>
          </reference>
        </references>
      </pivotArea>
    </format>
    <format dxfId="1475">
      <pivotArea dataOnly="0" labelOnly="1" outline="0" fieldPosition="0">
        <references count="1">
          <reference field="4294967294" count="3">
            <x v="6"/>
            <x v="7"/>
            <x v="8"/>
          </reference>
        </references>
      </pivotArea>
    </format>
    <format dxfId="1474">
      <pivotArea outline="0" collapsedLevelsAreSubtotals="1" fieldPosition="0">
        <references count="1">
          <reference field="4294967294" count="3" selected="0">
            <x v="6"/>
            <x v="7"/>
            <x v="8"/>
          </reference>
        </references>
      </pivotArea>
    </format>
    <format dxfId="1473">
      <pivotArea dataOnly="0" labelOnly="1" outline="0" fieldPosition="0">
        <references count="1">
          <reference field="4294967294" count="3">
            <x v="6"/>
            <x v="7"/>
            <x v="8"/>
          </reference>
        </references>
      </pivotArea>
    </format>
    <format dxfId="1472">
      <pivotArea outline="0" collapsedLevelsAreSubtotals="1" fieldPosition="0">
        <references count="1">
          <reference field="4294967294" count="3" selected="0">
            <x v="6"/>
            <x v="7"/>
            <x v="8"/>
          </reference>
        </references>
      </pivotArea>
    </format>
    <format dxfId="1471">
      <pivotArea dataOnly="0" labelOnly="1" outline="0" fieldPosition="0">
        <references count="1">
          <reference field="4294967294" count="3">
            <x v="6"/>
            <x v="7"/>
            <x v="8"/>
          </reference>
        </references>
      </pivotArea>
    </format>
  </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B00-000000000000}" name="Tabela dinâmica1" cacheId="141" applyNumberFormats="0" applyBorderFormats="0" applyFontFormats="0" applyPatternFormats="0" applyAlignmentFormats="0" applyWidthHeightFormats="1" dataCaption="Valores" updatedVersion="7" minRefreshableVersion="3" useAutoFormatting="1" itemPrintTitles="1" createdVersion="6" indent="0" outline="1" outlineData="1" multipleFieldFilters="0">
  <location ref="A3:C57" firstHeaderRow="0" firstDataRow="1" firstDataCol="1"/>
  <pivotFields count="28">
    <pivotField axis="axisRow" showAll="0">
      <items count="65">
        <item m="1" x="63"/>
        <item m="1" x="60"/>
        <item x="23"/>
        <item m="1" x="61"/>
        <item m="1" x="56"/>
        <item m="1" x="54"/>
        <item x="35"/>
        <item m="1" x="57"/>
        <item m="1" x="50"/>
        <item m="1" x="58"/>
        <item m="1" x="59"/>
        <item x="29"/>
        <item m="1" x="52"/>
        <item m="1" x="49"/>
        <item m="1" x="55"/>
        <item m="1" x="53"/>
        <item m="1" x="51"/>
        <item x="0"/>
        <item m="1" x="62"/>
        <item x="48"/>
        <item x="1"/>
        <item x="2"/>
        <item x="3"/>
        <item x="4"/>
        <item x="5"/>
        <item x="6"/>
        <item x="7"/>
        <item x="8"/>
        <item x="9"/>
        <item x="10"/>
        <item x="11"/>
        <item x="12"/>
        <item x="13"/>
        <item x="14"/>
        <item x="15"/>
        <item x="16"/>
        <item x="17"/>
        <item x="18"/>
        <item x="19"/>
        <item x="20"/>
        <item x="21"/>
        <item x="22"/>
        <item x="24"/>
        <item x="25"/>
        <item x="26"/>
        <item x="27"/>
        <item x="28"/>
        <item x="30"/>
        <item x="31"/>
        <item x="32"/>
        <item x="33"/>
        <item x="34"/>
        <item x="36"/>
        <item x="37"/>
        <item x="38"/>
        <item x="39"/>
        <item x="40"/>
        <item x="41"/>
        <item x="42"/>
        <item x="43"/>
        <item x="44"/>
        <item x="45"/>
        <item x="46"/>
        <item x="47"/>
        <item t="default"/>
      </items>
    </pivotField>
    <pivotField showAll="0"/>
    <pivotField showAll="0"/>
    <pivotField showAll="0"/>
    <pivotField showAll="0" defaultSubtotal="0"/>
    <pivotField numFmtId="2" showAll="0"/>
    <pivotField axis="axisRow" multipleItemSelectionAllowed="1" showAll="0">
      <items count="6">
        <item x="0"/>
        <item x="1"/>
        <item x="2"/>
        <item m="1" x="4"/>
        <item x="3"/>
        <item t="default"/>
      </items>
    </pivotField>
    <pivotField showAll="0"/>
    <pivotField showAll="0"/>
    <pivotField showAll="0" defaultSubtotal="0"/>
    <pivotField showAll="0" defaultSubtotal="0"/>
    <pivotField showAll="0" defaultSubtotal="0"/>
    <pivotField showAll="0"/>
    <pivotField showAll="0"/>
    <pivotField showAll="0"/>
    <pivotField showAll="0"/>
    <pivotField numFmtId="44" showAll="0" defaultSubtotal="0"/>
    <pivotField numFmtId="44" showAll="0" defaultSubtotal="0"/>
    <pivotField numFmtId="169" showAll="0"/>
    <pivotField numFmtId="169" showAll="0"/>
    <pivotField numFmtId="44" showAll="0"/>
    <pivotField showAll="0" defaultSubtotal="0"/>
    <pivotField showAll="0"/>
    <pivotField showAll="0"/>
    <pivotField numFmtId="44" showAll="0"/>
    <pivotField dataField="1" numFmtId="170" showAll="0"/>
    <pivotField dataField="1" numFmtId="170" showAll="0"/>
    <pivotField dragToRow="0" dragToCol="0" dragToPage="0" showAll="0" defaultSubtotal="0"/>
  </pivotFields>
  <rowFields count="2">
    <field x="6"/>
    <field x="0"/>
  </rowFields>
  <rowItems count="54">
    <i>
      <x/>
    </i>
    <i r="1">
      <x v="6"/>
    </i>
    <i r="1">
      <x v="11"/>
    </i>
    <i r="1">
      <x v="17"/>
    </i>
    <i r="1">
      <x v="20"/>
    </i>
    <i r="1">
      <x v="21"/>
    </i>
    <i r="1">
      <x v="22"/>
    </i>
    <i r="1">
      <x v="23"/>
    </i>
    <i r="1">
      <x v="24"/>
    </i>
    <i r="1">
      <x v="25"/>
    </i>
    <i r="1">
      <x v="26"/>
    </i>
    <i r="1">
      <x v="29"/>
    </i>
    <i r="1">
      <x v="30"/>
    </i>
    <i r="1">
      <x v="31"/>
    </i>
    <i r="1">
      <x v="32"/>
    </i>
    <i r="1">
      <x v="33"/>
    </i>
    <i r="1">
      <x v="34"/>
    </i>
    <i r="1">
      <x v="35"/>
    </i>
    <i r="1">
      <x v="36"/>
    </i>
    <i r="1">
      <x v="37"/>
    </i>
    <i r="1">
      <x v="38"/>
    </i>
    <i r="1">
      <x v="39"/>
    </i>
    <i r="1">
      <x v="40"/>
    </i>
    <i r="1">
      <x v="41"/>
    </i>
    <i r="1">
      <x v="42"/>
    </i>
    <i r="1">
      <x v="44"/>
    </i>
    <i r="1">
      <x v="45"/>
    </i>
    <i r="1">
      <x v="46"/>
    </i>
    <i r="1">
      <x v="48"/>
    </i>
    <i r="1">
      <x v="49"/>
    </i>
    <i r="1">
      <x v="50"/>
    </i>
    <i r="1">
      <x v="51"/>
    </i>
    <i r="1">
      <x v="52"/>
    </i>
    <i r="1">
      <x v="53"/>
    </i>
    <i r="1">
      <x v="54"/>
    </i>
    <i r="1">
      <x v="55"/>
    </i>
    <i r="1">
      <x v="56"/>
    </i>
    <i r="1">
      <x v="57"/>
    </i>
    <i r="1">
      <x v="58"/>
    </i>
    <i r="1">
      <x v="59"/>
    </i>
    <i r="1">
      <x v="60"/>
    </i>
    <i r="1">
      <x v="61"/>
    </i>
    <i r="1">
      <x v="62"/>
    </i>
    <i r="1">
      <x v="63"/>
    </i>
    <i>
      <x v="1"/>
    </i>
    <i r="1">
      <x v="27"/>
    </i>
    <i r="1">
      <x v="28"/>
    </i>
    <i r="1">
      <x v="43"/>
    </i>
    <i r="1">
      <x v="47"/>
    </i>
    <i>
      <x v="2"/>
    </i>
    <i r="1">
      <x v="2"/>
    </i>
    <i>
      <x v="4"/>
    </i>
    <i r="1">
      <x v="19"/>
    </i>
    <i t="grand">
      <x/>
    </i>
  </rowItems>
  <colFields count="1">
    <field x="-2"/>
  </colFields>
  <colItems count="2">
    <i>
      <x/>
    </i>
    <i i="1">
      <x v="1"/>
    </i>
  </colItems>
  <dataFields count="2">
    <dataField name="Soma de Tempo Unitário Estimado das Atividades" fld="25" baseField="1" baseItem="0" numFmtId="170"/>
    <dataField name="Soma de Tempo Total Estimado das Atividades" fld="26" baseField="1" baseItem="0" numFmtId="170"/>
  </dataFields>
  <formats count="16">
    <format dxfId="1221">
      <pivotArea type="all" dataOnly="0" outline="0" fieldPosition="0"/>
    </format>
    <format dxfId="1220">
      <pivotArea outline="0" collapsedLevelsAreSubtotals="1" fieldPosition="0"/>
    </format>
    <format dxfId="1219">
      <pivotArea field="6" type="button" dataOnly="0" labelOnly="1" outline="0" axis="axisRow" fieldPosition="0"/>
    </format>
    <format dxfId="1218">
      <pivotArea dataOnly="0" labelOnly="1" fieldPosition="0">
        <references count="1">
          <reference field="6" count="0"/>
        </references>
      </pivotArea>
    </format>
    <format dxfId="1217">
      <pivotArea dataOnly="0" labelOnly="1" grandRow="1" outline="0" fieldPosition="0"/>
    </format>
    <format dxfId="1216">
      <pivotArea dataOnly="0" labelOnly="1" outline="0" fieldPosition="0">
        <references count="1">
          <reference field="4294967294" count="2">
            <x v="0"/>
            <x v="1"/>
          </reference>
        </references>
      </pivotArea>
    </format>
    <format dxfId="1215">
      <pivotArea type="all" dataOnly="0" outline="0" fieldPosition="0"/>
    </format>
    <format dxfId="1214">
      <pivotArea outline="0" collapsedLevelsAreSubtotals="1" fieldPosition="0"/>
    </format>
    <format dxfId="1213">
      <pivotArea field="6" type="button" dataOnly="0" labelOnly="1" outline="0" axis="axisRow" fieldPosition="0"/>
    </format>
    <format dxfId="1212">
      <pivotArea dataOnly="0" labelOnly="1" fieldPosition="0">
        <references count="1">
          <reference field="6" count="0"/>
        </references>
      </pivotArea>
    </format>
    <format dxfId="1211">
      <pivotArea dataOnly="0" labelOnly="1" grandRow="1" outline="0" fieldPosition="0"/>
    </format>
    <format dxfId="1210">
      <pivotArea dataOnly="0" labelOnly="1" fieldPosition="0">
        <references count="2">
          <reference field="0" count="15">
            <x v="1"/>
            <x v="4"/>
            <x v="5"/>
            <x v="6"/>
            <x v="7"/>
            <x v="8"/>
            <x v="9"/>
            <x v="10"/>
            <x v="11"/>
            <x v="12"/>
            <x v="13"/>
            <x v="15"/>
            <x v="16"/>
            <x v="17"/>
            <x v="18"/>
          </reference>
          <reference field="6" count="1" selected="0">
            <x v="0"/>
          </reference>
        </references>
      </pivotArea>
    </format>
    <format dxfId="1209">
      <pivotArea dataOnly="0" labelOnly="1" fieldPosition="0">
        <references count="2">
          <reference field="0" count="5">
            <x v="0"/>
            <x v="6"/>
            <x v="12"/>
            <x v="14"/>
            <x v="17"/>
          </reference>
          <reference field="6" count="1" selected="0">
            <x v="1"/>
          </reference>
        </references>
      </pivotArea>
    </format>
    <format dxfId="1208">
      <pivotArea dataOnly="0" labelOnly="1" fieldPosition="0">
        <references count="2">
          <reference field="0" count="1">
            <x v="14"/>
          </reference>
          <reference field="6" count="1" selected="0">
            <x v="2"/>
          </reference>
        </references>
      </pivotArea>
    </format>
    <format dxfId="1207">
      <pivotArea dataOnly="0" labelOnly="1" fieldPosition="0">
        <references count="2">
          <reference field="0" count="2">
            <x v="2"/>
            <x v="3"/>
          </reference>
          <reference field="6" count="1" selected="0">
            <x v="3"/>
          </reference>
        </references>
      </pivotArea>
    </format>
    <format dxfId="1206">
      <pivotArea dataOnly="0" labelOnly="1" outline="0" fieldPosition="0">
        <references count="1">
          <reference field="4294967294" count="2">
            <x v="0"/>
            <x v="1"/>
          </reference>
        </references>
      </pivotArea>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ela2" displayName="Tabela2" ref="A2:D22" totalsRowShown="0" headerRowDxfId="1689" dataDxfId="1687" headerRowBorderDxfId="1688" tableBorderDxfId="1686" totalsRowBorderDxfId="1685">
  <autoFilter ref="A2:D22" xr:uid="{00000000-0009-0000-0100-000002000000}"/>
  <tableColumns count="4">
    <tableColumn id="1" xr3:uid="{00000000-0010-0000-0000-000001000000}" name="Nº" dataDxfId="1684"/>
    <tableColumn id="2" xr3:uid="{00000000-0010-0000-0000-000002000000}" name="Tipo de Área" dataDxfId="1683">
      <calculatedColumnFormula>'IN 05-2017'!A2</calculatedColumnFormula>
    </tableColumn>
    <tableColumn id="3" xr3:uid="{00000000-0010-0000-0000-000003000000}" name="Selecionar o tipo da superfície" dataDxfId="1682">
      <calculatedColumnFormula>'IN 05-2017'!B2</calculatedColumnFormula>
    </tableColumn>
    <tableColumn id="4" xr3:uid="{00000000-0010-0000-0000-000004000000}" name="Padrão Definido" dataDxfId="1681">
      <calculatedColumnFormula>MAX('IN 05-2017'!C2,'IN 05-2017'!D2)</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ela3" displayName="Tabela3" ref="F2:J7" totalsRowShown="0" headerRowDxfId="1680" dataDxfId="1678" headerRowBorderDxfId="1679" tableBorderDxfId="1677" totalsRowBorderDxfId="1676">
  <autoFilter ref="F2:J7" xr:uid="{00000000-0009-0000-0100-000003000000}"/>
  <tableColumns count="5">
    <tableColumn id="1" xr3:uid="{00000000-0010-0000-0100-000001000000}" name="Selecione a Periodicidade" dataDxfId="1675"/>
    <tableColumn id="2" xr3:uid="{00000000-0010-0000-0100-000002000000}" name="Horas de Trabalho no Mês" dataDxfId="1674"/>
    <tableColumn id="3" xr3:uid="{00000000-0010-0000-0100-000003000000}" name="% da Diária" dataDxfId="1673"/>
    <tableColumn id="4" xr3:uid="{00000000-0010-0000-0100-000004000000}" name="Jornadas no mês" dataDxfId="1672" dataCellStyle="Porcentagem"/>
    <tableColumn id="5" xr3:uid="{00000000-0010-0000-0100-000005000000}" name="% 1 Hora na Jornada" dataDxfId="1671" dataCellStyle="Porcentagem">
      <calculatedColumnFormula>1/Tabela3[[#This Row],[Horas de Trabalho no Mês]]</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Tabela4" displayName="Tabela4" ref="L2:N5" totalsRowShown="0" headerRowDxfId="1670" dataDxfId="1668" headerRowBorderDxfId="1669" tableBorderDxfId="1667" totalsRowBorderDxfId="1666">
  <autoFilter ref="L2:N5" xr:uid="{00000000-0009-0000-0100-000004000000}"/>
  <tableColumns count="3">
    <tableColumn id="1" xr3:uid="{00000000-0010-0000-0200-000001000000}" name="Mão de Obra" dataDxfId="1665"/>
    <tableColumn id="2" xr3:uid="{00000000-0010-0000-0200-000002000000}" name="Proporção (Mín)" dataDxfId="1664"/>
    <tableColumn id="3" xr3:uid="{00000000-0010-0000-0200-000003000000}" name="Proporção (Máx)" dataDxfId="166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03000000}" name="Tabela1642" displayName="Tabela1642" ref="F10:G12" totalsRowShown="0" headerRowDxfId="1662" dataDxfId="1661">
  <autoFilter ref="F10:G12" xr:uid="{00000000-0009-0000-0100-000029000000}"/>
  <tableColumns count="2">
    <tableColumn id="1" xr3:uid="{00000000-0010-0000-0300-000001000000}" name="PERCENTUAIS DE DESLIGAMENTOS - SEM JUSTA CAUSA" dataDxfId="1660"/>
    <tableColumn id="2" xr3:uid="{00000000-0010-0000-0300-000002000000}" name="PERCENTUAIS" dataDxfId="1659" dataCellStyle="Porcentagem"/>
  </tableColumns>
  <tableStyleInfo name="TableStyleMedium14"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4000000}" name="Tabela1" displayName="Tabela1" ref="A1:D20" totalsRowShown="0" headerRowDxfId="1658" dataDxfId="1656" headerRowBorderDxfId="1657" tableBorderDxfId="1655" totalsRowBorderDxfId="1654">
  <autoFilter ref="A1:D20" xr:uid="{00000000-0009-0000-0100-000001000000}"/>
  <tableColumns count="4">
    <tableColumn id="1" xr3:uid="{00000000-0010-0000-0400-000001000000}" name="Tipo de Área" dataDxfId="1653"/>
    <tableColumn id="2" xr3:uid="{00000000-0010-0000-0400-000002000000}" name="Subtipo" dataDxfId="1652"/>
    <tableColumn id="3" xr3:uid="{00000000-0010-0000-0400-000003000000}" name="Produtividade Mínima (m2)" dataDxfId="1651"/>
    <tableColumn id="4" xr3:uid="{00000000-0010-0000-0400-000004000000}" name="Produtividade Máxima (m2)" dataDxfId="1650"/>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5000000}" name="Tabela13" displayName="Tabela13" ref="B24:D30" totalsRowShown="0" headerRowDxfId="1649" dataDxfId="1648">
  <autoFilter ref="B24:D30" xr:uid="{00000000-0009-0000-0100-00000D000000}"/>
  <tableColumns count="3">
    <tableColumn id="1" xr3:uid="{00000000-0010-0000-0500-000001000000}" name="LIMPEZA E CONSERVAÇÃO" dataDxfId="1647"/>
    <tableColumn id="2" xr3:uid="{00000000-0010-0000-0500-000002000000}" name="Maximo " dataDxfId="1646" dataCellStyle="Porcentagem"/>
    <tableColumn id="3" xr3:uid="{00000000-0010-0000-0500-000003000000}" name="Mínimo" dataDxfId="1645" dataCellStyle="Porcentagem"/>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06000000}" name="Tabela756" displayName="Tabela756" ref="A1:M9" totalsRowCount="1" headerRowDxfId="1644" dataDxfId="1643" totalsRowDxfId="1642">
  <autoFilter ref="A1:M8" xr:uid="{00000000-0009-0000-0100-000037000000}"/>
  <tableColumns count="13">
    <tableColumn id="1" xr3:uid="{00000000-0010-0000-0600-000001000000}" name="Item" dataDxfId="1641" totalsRowDxfId="1640" dataCellStyle="Cálculo"/>
    <tableColumn id="2" xr3:uid="{00000000-0010-0000-0600-000002000000}" name="Tipo da Área" totalsRowLabel="Total" dataDxfId="1639" totalsRowDxfId="1638"/>
    <tableColumn id="3" xr3:uid="{00000000-0010-0000-0600-000003000000}" name="Área Efetiva Mensal" totalsRowFunction="sum" dataDxfId="1637" totalsRowDxfId="1636" dataCellStyle="Cálculo">
      <calculatedColumnFormula>IF(Tabela756[[#This Row],[Tipo da Área]]="","",VLOOKUP(Tabela756[[#This Row],[Tipo da Área]],'TABELA DE ATUALIZAÇÃO PROPOSTA'!$A$3:$K$59,2,FALSE))</calculatedColumnFormula>
    </tableColumn>
    <tableColumn id="4" xr3:uid="{00000000-0010-0000-0600-000004000000}" name="Produtividade Média Diária" totalsRowLabel="Calculado" dataDxfId="1635" totalsRowDxfId="1634">
      <calculatedColumnFormula>VLOOKUP(Tabela756[[#This Row],[Tipo da Área]],'TABELA DE ATUALIZAÇÃO PROPOSTA'!$A$4:$K$60,3,FALSE)</calculatedColumnFormula>
    </tableColumn>
    <tableColumn id="5" xr3:uid="{00000000-0010-0000-0600-000005000000}" name="Mão de Obra" totalsRowFunction="sum" dataDxfId="1633" totalsRowDxfId="1632" dataCellStyle="Cálculo">
      <calculatedColumnFormula>IF(Tabela756[[#This Row],[Tipo da Área]]="","",VLOOKUP(Tabela756[[#This Row],[Tipo da Área]],'TABELA DE ATUALIZAÇÃO PROPOSTA'!$A$3:$K$59,4,FALSE))</calculatedColumnFormula>
    </tableColumn>
    <tableColumn id="7" xr3:uid="{00000000-0010-0000-0600-000007000000}" name="Média de custos do M2 limpo pelo Agente" totalsRowFunction="average" dataDxfId="1631" totalsRowDxfId="1630" dataCellStyle="Moeda">
      <calculatedColumnFormula>IF(Tabela756[[#This Row],[Tipo da Área]]="","",VLOOKUP(Tabela756[[#This Row],[Tipo da Área]],'TABELA DE ATUALIZAÇÃO PROPOSTA'!$A$3:$K$59,5,FALSE))</calculatedColumnFormula>
    </tableColumn>
    <tableColumn id="10" xr3:uid="{00000000-0010-0000-0600-00000A000000}" name="Média de custos do M2 limpo pelo Líder" totalsRowFunction="average" dataDxfId="1629" totalsRowDxfId="1628" dataCellStyle="Moeda">
      <calculatedColumnFormula>IF(Tabela756[[#This Row],[Tipo da Área]]="","",VLOOKUP(Tabela756[[#This Row],[Tipo da Área]],'TABELA DE ATUALIZAÇÃO PROPOSTA'!$A$3:$K$59,6,FALSE))</calculatedColumnFormula>
    </tableColumn>
    <tableColumn id="11" xr3:uid="{00000000-0010-0000-0600-00000B000000}" name="Média de Custos do M2 limpo total" totalsRowFunction="average" dataDxfId="1627" totalsRowDxfId="1626" dataCellStyle="Moeda">
      <calculatedColumnFormula>IF(Tabela756[[#This Row],[Tipo da Área]]="","",VLOOKUP(Tabela756[[#This Row],[Tipo da Área]],'TABELA DE ATUALIZAÇÃO PROPOSTA'!$A$3:$K$59,7,FALSE))</calculatedColumnFormula>
    </tableColumn>
    <tableColumn id="13" xr3:uid="{00000000-0010-0000-0600-00000D000000}" name="Remuneração Mensal Agente" totalsRowFunction="sum" dataDxfId="1625" totalsRowDxfId="1624" dataCellStyle="Moeda">
      <calculatedColumnFormula>IF(Tabela756[[#This Row],[Tipo da Área]]="","",VLOOKUP(Tabela756[[#This Row],[Tipo da Área]],'TABELA DE ATUALIZAÇÃO PROPOSTA'!$A$3:$K$59,8,FALSE))</calculatedColumnFormula>
    </tableColumn>
    <tableColumn id="12" xr3:uid="{00000000-0010-0000-0600-00000C000000}" name="Remuneração Mensal Líder" totalsRowFunction="sum" dataDxfId="1623" totalsRowDxfId="1622" dataCellStyle="Moeda">
      <calculatedColumnFormula>IF(Tabela756[[#This Row],[Tipo da Área]]="","",VLOOKUP(Tabela756[[#This Row],[Tipo da Área]],'TABELA DE ATUALIZAÇÃO PROPOSTA'!$A$3:$K$59,9,FALSE))</calculatedColumnFormula>
    </tableColumn>
    <tableColumn id="6" xr3:uid="{00000000-0010-0000-0600-000006000000}" name="Remuneração Mensal Total" totalsRowFunction="sum" dataDxfId="1621" totalsRowDxfId="1620" dataCellStyle="Moeda">
      <calculatedColumnFormula>IF(Tabela756[[#This Row],[Tipo da Área]]="","",VLOOKUP(Tabela756[[#This Row],[Tipo da Área]],'TABELA DE ATUALIZAÇÃO PROPOSTA'!$A$3:$K$59,10,FALSE))</calculatedColumnFormula>
    </tableColumn>
    <tableColumn id="8" xr3:uid="{00000000-0010-0000-0600-000008000000}" name="Meses do Contrato" totalsRowFunction="average" dataDxfId="1619" totalsRowDxfId="1618"/>
    <tableColumn id="9" xr3:uid="{00000000-0010-0000-0600-000009000000}" name="Remuneração Anual" totalsRowFunction="sum" dataDxfId="1617" totalsRowDxfId="1616" dataCellStyle="Moeda">
      <calculatedColumnFormula>Tabela756[[#This Row],[Meses do Contrato]]*Tabela756[[#This Row],[Remuneração Mensal Total]]</calculatedColumnFormula>
    </tableColumn>
  </tableColumns>
  <tableStyleInfo name="TableStyleMedium1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07000000}" name="Tabela657" displayName="Tabela657" ref="A15:H20" headerRowDxfId="1615" dataDxfId="1613" totalsRowDxfId="1611" headerRowBorderDxfId="1614" tableBorderDxfId="1612">
  <autoFilter ref="A15:H20" xr:uid="{00000000-0009-0000-0100-000038000000}"/>
  <tableColumns count="8">
    <tableColumn id="1" xr3:uid="{00000000-0010-0000-0700-000001000000}" name="Item" totalsRowLabel="Total" dataDxfId="1610" totalsRowDxfId="1609"/>
    <tableColumn id="2" xr3:uid="{00000000-0010-0000-0700-000002000000}" name="Encargo" dataDxfId="1608" totalsRowDxfId="1607"/>
    <tableColumn id="3" xr3:uid="{00000000-0010-0000-0700-000003000000}" name="Qtd" dataDxfId="1606" totalsRowDxfId="1605"/>
    <tableColumn id="4" xr3:uid="{00000000-0010-0000-0700-000004000000}" name="Valor Médio Mensal por empregado" dataDxfId="1604" totalsRowDxfId="1603"/>
    <tableColumn id="5" xr3:uid="{00000000-0010-0000-0700-000005000000}" name="Valor Médio Mensal Total" dataDxfId="1602" totalsRowDxfId="1601"/>
    <tableColumn id="6" xr3:uid="{00000000-0010-0000-0700-000006000000}" name="Vigência do Contrato em Meses" dataDxfId="1600" totalsRowDxfId="1599"/>
    <tableColumn id="7" xr3:uid="{00000000-0010-0000-0700-000007000000}" name="Valor Médio Anual do Contrato" totalsRowFunction="sum" dataDxfId="1598" totalsRowDxfId="1597" dataCellStyle="Porcentagem"/>
    <tableColumn id="8" xr3:uid="{00000000-0010-0000-0700-000008000000}" name="Proporção dos Custos do Contrato" dataDxfId="1596" totalsRowDxfId="1595" dataCellStyle="Porcentagem">
      <calculatedColumnFormula>G16/$G$20</calculatedColumnFormula>
    </tableColumn>
  </tableColumns>
  <tableStyleInfo name="TableStyleMedium1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08000000}" name="Tabela640" displayName="Tabela640" ref="A24:H29" headerRowDxfId="1594" dataDxfId="1592" totalsRowDxfId="1590" headerRowBorderDxfId="1593" tableBorderDxfId="1591">
  <autoFilter ref="A24:H29" xr:uid="{00000000-0009-0000-0100-000039000000}"/>
  <tableColumns count="8">
    <tableColumn id="1" xr3:uid="{00000000-0010-0000-0800-000001000000}" name="Item" totalsRowLabel="Total" dataDxfId="1589" totalsRowDxfId="1588"/>
    <tableColumn id="2" xr3:uid="{00000000-0010-0000-0800-000002000000}" name="Descrição" dataDxfId="1587" totalsRowDxfId="1586"/>
    <tableColumn id="4" xr3:uid="{00000000-0010-0000-0800-000004000000}" name="Valor Médio Mensal por empregado M2" dataDxfId="1585" totalsRowDxfId="1584"/>
    <tableColumn id="5" xr3:uid="{00000000-0010-0000-0800-000005000000}" name="Valor Médio anual Total M2" dataDxfId="1583" totalsRowDxfId="1582"/>
    <tableColumn id="6" xr3:uid="{00000000-0010-0000-0800-000006000000}" name="Valor Médio Mensal por empregado quantidade" dataDxfId="1581" totalsRowDxfId="1580" dataCellStyle="Moeda"/>
    <tableColumn id="7" xr3:uid="{00000000-0010-0000-0800-000007000000}" name="Valor Médio anual Total Quantidade" totalsRowFunction="sum" dataDxfId="1579" totalsRowDxfId="1578" dataCellStyle="Moeda"/>
    <tableColumn id="8" xr3:uid="{00000000-0010-0000-0800-000008000000}" name="Desequilíbrio de Confronto Mensal " dataDxfId="1577" totalsRowDxfId="1576" dataCellStyle="Moeda"/>
    <tableColumn id="9" xr3:uid="{00000000-0010-0000-0800-000009000000}" name="Desequilíbrio de Confronto Anual" dataDxfId="1575" totalsRowDxfId="1574" dataCellStyle="Moeda">
      <calculatedColumnFormula>Tabela640[[#This Row],[Valor Médio anual Total M2]]-Tabela640[[#This Row],[Valor Médio anual Total Quantidade]]</calculatedColumnFormula>
    </tableColumn>
  </tableColumns>
  <tableStyleInfo name="TableStyleMedium13"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09000000}" name="Tabela93046" displayName="Tabela93046" ref="D6:E30" totalsRowShown="0" headerRowDxfId="1573" dataDxfId="1572">
  <autoFilter ref="D6:E30" xr:uid="{00000000-0009-0000-0100-00002C000000}"/>
  <tableColumns count="2">
    <tableColumn id="1" xr3:uid="{00000000-0010-0000-0900-000001000000}" name="CONVEÇÃO COLETIVA VIGENTE" dataDxfId="1571"/>
    <tableColumn id="2" xr3:uid="{00000000-0010-0000-0900-000002000000}" name="LIMPEZA E CONSERVAÇÃO" dataDxfId="1570"/>
  </tableColumns>
  <tableStyleInfo name="TableStyleLight2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0A000000}" name="Tabela1048" displayName="Tabela1048" ref="G6:H30" totalsRowShown="0" headerRowDxfId="1569" dataDxfId="1568">
  <autoFilter ref="G6:H30" xr:uid="{00000000-0009-0000-0100-00002D000000}"/>
  <tableColumns count="2">
    <tableColumn id="1" xr3:uid="{00000000-0010-0000-0A00-000001000000}" name="CONVEÇÃO COLETIVA VIGENTE" dataDxfId="1567"/>
    <tableColumn id="2" xr3:uid="{00000000-0010-0000-0A00-000002000000}" name="LIMPEZA E CONSERVAÇÃO" dataDxfId="1566"/>
  </tableColumns>
  <tableStyleInfo name="TableStyleLight2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0B000000}" name="Tabela1849" displayName="Tabela1849" ref="J6:K23" totalsRowShown="0" headerRowDxfId="1565" dataDxfId="1564">
  <autoFilter ref="J6:K23" xr:uid="{00000000-0009-0000-0100-00002E000000}"/>
  <tableColumns count="2">
    <tableColumn id="1" xr3:uid="{00000000-0010-0000-0B00-000001000000}" name="PARÂMETROS - SUBMÓDULO 2.2" dataDxfId="1563"/>
    <tableColumn id="2" xr3:uid="{00000000-0010-0000-0B00-000002000000}" name="AGENTE DE LIMPEZA" dataDxfId="1562"/>
  </tableColumns>
  <tableStyleInfo name="TableStyleLight2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0C000000}" name="Tabela183650" displayName="Tabela183650" ref="M6:N23" totalsRowShown="0" headerRowDxfId="1561" dataDxfId="1560">
  <autoFilter ref="M6:N23" xr:uid="{00000000-0009-0000-0100-00002F000000}"/>
  <tableColumns count="2">
    <tableColumn id="1" xr3:uid="{00000000-0010-0000-0C00-000001000000}" name="PARÂMETROS - SUBMÓDULO 2.2" dataDxfId="1559"/>
    <tableColumn id="2" xr3:uid="{00000000-0010-0000-0C00-000002000000}" name="LIDER DE LIMPEZA" dataDxfId="1558"/>
  </tableColumns>
  <tableStyleInfo name="TableStyleLight2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0D000000}" name="Tabela1551" displayName="Tabela1551" ref="P6:Q10" totalsRowCount="1" headerRowDxfId="1557" dataDxfId="1556" totalsRowDxfId="1555">
  <autoFilter ref="P6:Q9" xr:uid="{00000000-0009-0000-0100-000030000000}"/>
  <tableColumns count="2">
    <tableColumn id="1" xr3:uid="{00000000-0010-0000-0D00-000001000000}" name="Módulo Rescisão" totalsRowLabel="Total de Desligamentos" dataDxfId="1554" totalsRowDxfId="1553"/>
    <tableColumn id="2" xr3:uid="{00000000-0010-0000-0D00-000002000000}" name="Percentuais (%)" totalsRowFunction="sum" dataDxfId="1552" totalsRowDxfId="1551" dataCellStyle="Porcentagem"/>
  </tableColumns>
  <tableStyleInfo name="TableStyleLight2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0E000000}" name="Tabela2852" displayName="Tabela2852" ref="S6:U18" totalsRowShown="0" headerRowDxfId="1550" dataDxfId="1549">
  <autoFilter ref="S6:U18" xr:uid="{00000000-0009-0000-0100-000031000000}"/>
  <tableColumns count="3">
    <tableColumn id="1" xr3:uid="{00000000-0010-0000-0E00-000001000000}" name="Parâmetros- Módulo Substituto nas Ausências Legais" dataDxfId="1548"/>
    <tableColumn id="2" xr3:uid="{00000000-0010-0000-0E00-000002000000}" name="Categoria" dataDxfId="1547"/>
    <tableColumn id="3" xr3:uid="{00000000-0010-0000-0E00-000003000000}" name="Percentual de Incidencia Estudo" dataDxfId="1546" dataCellStyle="Porcentagem"/>
  </tableColumns>
  <tableStyleInfo name="TableStyleLight2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0F000000}" name="Tabela44" displayName="Tabela44" ref="W6:Y13" totalsRowShown="0" headerRowDxfId="1545" dataDxfId="1544">
  <autoFilter ref="W6:Y13" xr:uid="{00000000-0009-0000-0100-000032000000}"/>
  <tableColumns count="3">
    <tableColumn id="1" xr3:uid="{00000000-0010-0000-0F00-000001000000}" name="ITEM" dataDxfId="1543"/>
    <tableColumn id="2" xr3:uid="{00000000-0010-0000-0F00-000002000000}" name="FARDAMENTO" dataDxfId="1542"/>
    <tableColumn id="3" xr3:uid="{00000000-0010-0000-0F00-000003000000}" name="VALOR (R$)" dataDxfId="1541" dataCellStyle="Moeda"/>
  </tableColumns>
  <tableStyleInfo name="TableStyleLight2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10000000}" name="Tabela2947" displayName="Tabela2947" ref="W15:Z29" totalsRowShown="0" headerRowDxfId="1540" dataDxfId="1539">
  <autoFilter ref="W15:Z29" xr:uid="{00000000-0009-0000-0100-000033000000}"/>
  <tableColumns count="4">
    <tableColumn id="1" xr3:uid="{00000000-0010-0000-1000-000001000000}" name="ITEM" dataDxfId="1538"/>
    <tableColumn id="2" xr3:uid="{00000000-0010-0000-1000-000002000000}" name="EQUIPAMENTOS" dataDxfId="1537"/>
    <tableColumn id="3" xr3:uid="{00000000-0010-0000-1000-000003000000}" name="CATMAT" dataDxfId="1536"/>
    <tableColumn id="4" xr3:uid="{00000000-0010-0000-1000-000004000000}" name="PREÇO MEDIO UNITÁRIO" dataDxfId="1103" dataCellStyle="Moeda"/>
  </tableColumns>
  <tableStyleInfo name="TableStyleLight21"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11000000}" name="Tabela4045" displayName="Tabela4045" ref="W32:Z79" totalsRowCount="1" headerRowDxfId="1535" dataDxfId="1534" totalsRowDxfId="1533">
  <autoFilter ref="W32:Z78" xr:uid="{00000000-0009-0000-0100-000034000000}"/>
  <sortState xmlns:xlrd2="http://schemas.microsoft.com/office/spreadsheetml/2017/richdata2" ref="W33:Z78">
    <sortCondition ref="W98:W117"/>
  </sortState>
  <tableColumns count="4">
    <tableColumn id="1" xr3:uid="{00000000-0010-0000-1100-000001000000}" name="ITEM" totalsRowLabel="TOTAL" dataDxfId="1102" totalsRowDxfId="1101"/>
    <tableColumn id="2" xr3:uid="{00000000-0010-0000-1100-000002000000}" name="UTENSÍLIOS" dataDxfId="1100" totalsRowDxfId="1099"/>
    <tableColumn id="4" xr3:uid="{00000000-0010-0000-1100-000004000000}" name="CATMAT" dataDxfId="1098" totalsRowDxfId="1097"/>
    <tableColumn id="5" xr3:uid="{00000000-0010-0000-1100-000005000000}" name="VALOR" totalsRowFunction="sum" dataDxfId="1096" totalsRowDxfId="1095" dataCellStyle="Moeda"/>
  </tableColumns>
  <tableStyleInfo name="TableStyleLight21"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12000000}" name="Tabela1451" displayName="Tabela1451" ref="AB6:AF92" totalsRowCount="1" headerRowDxfId="1532" dataDxfId="1531" totalsRowDxfId="1530">
  <autoFilter ref="AB6:AF91" xr:uid="{00000000-0009-0000-0100-000035000000}"/>
  <tableColumns count="5">
    <tableColumn id="1" xr3:uid="{00000000-0010-0000-1200-000001000000}" name="ITEM" dataDxfId="1529" totalsRowDxfId="72"/>
    <tableColumn id="2" xr3:uid="{00000000-0010-0000-1200-000002000000}" name="DESCRIÇÃO" dataDxfId="1528" totalsRowDxfId="71"/>
    <tableColumn id="3" xr3:uid="{00000000-0010-0000-1200-000003000000}" name="UNIDADE" dataDxfId="1527" totalsRowDxfId="70"/>
    <tableColumn id="4" xr3:uid="{00000000-0010-0000-1200-000004000000}" name="CATMAT" dataDxfId="1526" totalsRowDxfId="69"/>
    <tableColumn id="7" xr3:uid="{00000000-0010-0000-1200-000007000000}" name="PREÇO MÉDIO UNITÁRIO (R$)" dataDxfId="1093" totalsRowDxfId="68" dataCellStyle="Moeda"/>
  </tableColumns>
  <tableStyleInfo name="TableStyleLight21"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13000000}" name="Tabela51" displayName="Tabela51" ref="A6:B15" totalsRowShown="0" headerRowDxfId="1525">
  <autoFilter ref="A6:B15" xr:uid="{00000000-0009-0000-0100-000036000000}"/>
  <tableColumns count="2">
    <tableColumn id="1" xr3:uid="{00000000-0010-0000-1300-000001000000}" name="INDETIFICAÇÃO DA LICITANTE" dataDxfId="1524"/>
    <tableColumn id="2" xr3:uid="{00000000-0010-0000-1300-000002000000}" name="RESULTADO" dataDxfId="1523"/>
  </tableColumns>
  <tableStyleInfo name="TableStyleLight21"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4000000}" name="Tabela7" displayName="Tabela7" ref="A1:M9" totalsRowCount="1" headerRowDxfId="1470" dataDxfId="1469" totalsRowDxfId="1468">
  <autoFilter ref="A1:M8" xr:uid="{00000000-0009-0000-0100-000007000000}"/>
  <tableColumns count="13">
    <tableColumn id="1" xr3:uid="{00000000-0010-0000-1400-000001000000}" name="Item" dataDxfId="1467" totalsRowDxfId="1466" dataCellStyle="Cálculo"/>
    <tableColumn id="2" xr3:uid="{00000000-0010-0000-1400-000002000000}" name="Tipo da Área" totalsRowLabel="Total" dataDxfId="1465" totalsRowDxfId="1464"/>
    <tableColumn id="3" xr3:uid="{00000000-0010-0000-1400-000003000000}" name="Área Efetiva Mensal" totalsRowFunction="sum" dataDxfId="1463" totalsRowDxfId="1462" dataCellStyle="Cálculo">
      <calculatedColumnFormula>IF(Tabela7[[#This Row],[Tipo da Área]]="","",VLOOKUP(Tabela7[[#This Row],[Tipo da Área]],'TABELA DE ATUALIZAÇÃO PROPOSTA'!$A$3:$K$59,2,FALSE))</calculatedColumnFormula>
    </tableColumn>
    <tableColumn id="4" xr3:uid="{00000000-0010-0000-1400-000004000000}" name="Produtividade Média Diária" totalsRowLabel="Calculado" dataDxfId="1461" totalsRowDxfId="1460">
      <calculatedColumnFormula>VLOOKUP(Tabela7[[#This Row],[Tipo da Área]],'TABELA DE ATUALIZAÇÃO PROPOSTA'!$A$4:$K$60,3,FALSE)</calculatedColumnFormula>
    </tableColumn>
    <tableColumn id="5" xr3:uid="{00000000-0010-0000-1400-000005000000}" name="Mão de Obra" totalsRowFunction="sum" dataDxfId="1459" totalsRowDxfId="1458" dataCellStyle="Cálculo">
      <calculatedColumnFormula>IF(Tabela7[[#This Row],[Tipo da Área]]="","",VLOOKUP(Tabela7[[#This Row],[Tipo da Área]],'TABELA DE ATUALIZAÇÃO PROPOSTA'!$A$3:$K$59,4,FALSE))</calculatedColumnFormula>
    </tableColumn>
    <tableColumn id="7" xr3:uid="{00000000-0010-0000-1400-000007000000}" name="Média de custos do M2 limpo pelo Agente" totalsRowFunction="average" dataDxfId="1457" totalsRowDxfId="1456" dataCellStyle="Moeda">
      <calculatedColumnFormula>IF(Tabela7[[#This Row],[Tipo da Área]]="","",VLOOKUP(Tabela7[[#This Row],[Tipo da Área]],'TABELA DE ATUALIZAÇÃO PROPOSTA'!$A$3:$K$59,5,FALSE))</calculatedColumnFormula>
    </tableColumn>
    <tableColumn id="10" xr3:uid="{00000000-0010-0000-1400-00000A000000}" name="Média de custos do M2 limpo pelo Líder" totalsRowFunction="average" dataDxfId="1455" totalsRowDxfId="1454" dataCellStyle="Moeda">
      <calculatedColumnFormula>IF(Tabela7[[#This Row],[Tipo da Área]]="","",VLOOKUP(Tabela7[[#This Row],[Tipo da Área]],'TABELA DE ATUALIZAÇÃO PROPOSTA'!$A$3:$K$59,6,FALSE))</calculatedColumnFormula>
    </tableColumn>
    <tableColumn id="11" xr3:uid="{00000000-0010-0000-1400-00000B000000}" name="Média de Custos do M2 limpo total" totalsRowFunction="average" dataDxfId="1453" totalsRowDxfId="1452" dataCellStyle="Moeda">
      <calculatedColumnFormula>IF(Tabela7[[#This Row],[Tipo da Área]]="","",VLOOKUP(Tabela7[[#This Row],[Tipo da Área]],'TABELA DE ATUALIZAÇÃO PROPOSTA'!$A$3:$K$59,7,FALSE))</calculatedColumnFormula>
    </tableColumn>
    <tableColumn id="13" xr3:uid="{00000000-0010-0000-1400-00000D000000}" name="Remuneração Mensal Agente" totalsRowFunction="sum" dataDxfId="1451" totalsRowDxfId="1450" dataCellStyle="Moeda">
      <calculatedColumnFormula>IF(Tabela7[[#This Row],[Tipo da Área]]="","",VLOOKUP(Tabela7[[#This Row],[Tipo da Área]],'TABELA DE ATUALIZAÇÃO PROPOSTA'!$A$3:$K$59,8,FALSE))</calculatedColumnFormula>
    </tableColumn>
    <tableColumn id="12" xr3:uid="{00000000-0010-0000-1400-00000C000000}" name="Remuneração Mensal Líder" totalsRowFunction="sum" dataDxfId="1449" totalsRowDxfId="1448" dataCellStyle="Moeda">
      <calculatedColumnFormula>IF(Tabela7[[#This Row],[Tipo da Área]]="","",VLOOKUP(Tabela7[[#This Row],[Tipo da Área]],'TABELA DE ATUALIZAÇÃO PROPOSTA'!$A$3:$K$59,9,FALSE))</calculatedColumnFormula>
    </tableColumn>
    <tableColumn id="6" xr3:uid="{00000000-0010-0000-1400-000006000000}" name="Remuneração Mensal Total" totalsRowFunction="sum" dataDxfId="1447" totalsRowDxfId="1446" dataCellStyle="Moeda">
      <calculatedColumnFormula>IF(Tabela7[[#This Row],[Tipo da Área]]="","",VLOOKUP(Tabela7[[#This Row],[Tipo da Área]],'TABELA DE ATUALIZAÇÃO PROPOSTA'!$A$3:$K$59,10,FALSE))</calculatedColumnFormula>
    </tableColumn>
    <tableColumn id="8" xr3:uid="{00000000-0010-0000-1400-000008000000}" name="Meses do Contrato" totalsRowFunction="average" dataDxfId="1445" totalsRowDxfId="1444"/>
    <tableColumn id="9" xr3:uid="{00000000-0010-0000-1400-000009000000}" name="Remuneração Anual" totalsRowFunction="sum" dataDxfId="1443" totalsRowDxfId="1442" dataCellStyle="Moeda">
      <calculatedColumnFormula>Tabela7[[#This Row],[Meses do Contrato]]*Tabela7[[#This Row],[Remuneração Mensal Total]]</calculatedColumnFormula>
    </tableColumn>
  </tableColumns>
  <tableStyleInfo name="TableStyleMedium14"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15000000}" name="Tabela34" displayName="Tabela34" ref="F12:G15" totalsRowShown="0" headerRowDxfId="1441" dataDxfId="1440">
  <autoFilter ref="F12:G15" xr:uid="{00000000-0009-0000-0100-000008000000}"/>
  <tableColumns count="2">
    <tableColumn id="1" xr3:uid="{00000000-0010-0000-1500-000001000000}" name="Cargo" dataDxfId="1439">
      <calculatedColumnFormula>E25</calculatedColumnFormula>
    </tableColumn>
    <tableColumn id="2" xr3:uid="{00000000-0010-0000-1500-000002000000}" name="Custo Total" dataDxfId="1438">
      <calculatedColumnFormula>G92</calculatedColumnFormula>
    </tableColumn>
  </tableColumns>
  <tableStyleInfo name="TableStyleMedium14"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16000000}" name="Tabela41" displayName="Tabela41" ref="A12:C15" totalsRowShown="0" headerRowDxfId="1437" dataDxfId="1436" tableBorderDxfId="1435">
  <autoFilter ref="A12:C15" xr:uid="{00000000-0009-0000-0100-000028000000}"/>
  <tableColumns count="3">
    <tableColumn id="1" xr3:uid="{00000000-0010-0000-1600-000001000000}" name="Tipo de Serviço" dataDxfId="1434"/>
    <tableColumn id="2" xr3:uid="{00000000-0010-0000-1600-000002000000}" name="Unidade de Medida" dataDxfId="1433"/>
    <tableColumn id="3" xr3:uid="{00000000-0010-0000-1600-000003000000}" name="Quantidade total a contratar (Em função da unidade de medida)" dataDxfId="1432">
      <calculatedColumnFormula>Tabela5[[#Totals],[Área Efetiva em Diária]]</calculatedColumnFormula>
    </tableColumn>
  </tableColumns>
  <tableStyleInfo name="TableStyleMedium14"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7000000}" name="Tabela42" displayName="Tabela42" ref="A18:C22" totalsRowShown="0" headerRowDxfId="1431" tableBorderDxfId="1430">
  <autoFilter ref="A18:C22" xr:uid="{00000000-0009-0000-0100-00002A000000}"/>
  <tableColumns count="3">
    <tableColumn id="1" xr3:uid="{00000000-0010-0000-1700-000001000000}" name="1"/>
    <tableColumn id="2" xr3:uid="{00000000-0010-0000-1700-000002000000}" name="Tipo de Serviço (mesmo serviço com características distintas)" dataDxfId="1429"/>
    <tableColumn id="3" xr3:uid="{00000000-0010-0000-1700-000003000000}" name="Agente de Limpeza"/>
  </tableColumns>
  <tableStyleInfo name="TableStyleMedium14"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8000000}" name="Tabela43" displayName="Tabela43" ref="E18:G22" totalsRowShown="0" tableBorderDxfId="1428">
  <autoFilter ref="E18:G22" xr:uid="{00000000-0009-0000-0100-00002B000000}"/>
  <tableColumns count="3">
    <tableColumn id="1" xr3:uid="{00000000-0010-0000-1800-000001000000}" name="1"/>
    <tableColumn id="2" xr3:uid="{00000000-0010-0000-1800-000002000000}" name="Tipo de Serviço (mesmo serviço com características distintas)" dataDxfId="1427"/>
    <tableColumn id="3" xr3:uid="{00000000-0010-0000-1800-000003000000}" name="Lider de Serviços" dataDxfId="1426"/>
  </tableColumns>
  <tableStyleInfo name="TableStyleMedium14"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19000000}" name="Tabela14" displayName="Tabela14" ref="A1:I87" totalsRowCount="1" headerRowDxfId="1425" dataDxfId="1424" totalsRowDxfId="1423">
  <autoFilter ref="A1:I86" xr:uid="{00000000-0009-0000-0100-00003A000000}"/>
  <tableColumns count="9">
    <tableColumn id="1" xr3:uid="{00000000-0010-0000-1900-000001000000}" name="ITEM" dataDxfId="1422" totalsRowDxfId="1421"/>
    <tableColumn id="2" xr3:uid="{00000000-0010-0000-1900-000002000000}" name="DESCRIÇÃO" dataDxfId="1420" totalsRowDxfId="1419"/>
    <tableColumn id="3" xr3:uid="{00000000-0010-0000-1900-000003000000}" name="UNIDADE" dataDxfId="1418" totalsRowDxfId="1417"/>
    <tableColumn id="4" xr3:uid="{00000000-0010-0000-1900-000004000000}" name="CATMAT" dataDxfId="1416" totalsRowDxfId="1415"/>
    <tableColumn id="5" xr3:uid="{00000000-0010-0000-1900-000005000000}" name="QTD MENSAL" totalsRowFunction="sum" dataDxfId="1414" totalsRowDxfId="1413">
      <calculatedColumnFormula>Tabela14[[#This Row],[QTD ANUAL]]/12</calculatedColumnFormula>
    </tableColumn>
    <tableColumn id="6" xr3:uid="{00000000-0010-0000-1900-000006000000}" name="QTD ANUAL" totalsRowFunction="sum" dataDxfId="1412" totalsRowDxfId="1411"/>
    <tableColumn id="7" xr3:uid="{00000000-0010-0000-1900-000007000000}" name="PREÇO MÉDIO UNITÁRIO (R$)" dataDxfId="1410" totalsRowDxfId="1409">
      <calculatedColumnFormula>'PARAMETROS DA CONTRATAÇÃO'!AF7</calculatedColumnFormula>
    </tableColumn>
    <tableColumn id="8" xr3:uid="{00000000-0010-0000-1900-000008000000}" name="CUSTO MÉDIO MENSAL (R$)" totalsRowFunction="sum" dataDxfId="1408" totalsRowDxfId="1407" dataCellStyle="Moeda">
      <calculatedColumnFormula>G2*E2</calculatedColumnFormula>
    </tableColumn>
    <tableColumn id="9" xr3:uid="{00000000-0010-0000-1900-000009000000}" name="CUSTO MÉDIO ANUAL (R$)" totalsRowFunction="sum" dataDxfId="1406" totalsRowDxfId="1405" dataCellStyle="Moeda">
      <calculatedColumnFormula>G2*F2</calculatedColumnFormula>
    </tableColumn>
  </tableColumns>
  <tableStyleInfo name="TableStyleMedium14"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A000000}" name="Tabela19" displayName="Tabela19" ref="A1:G3" totalsRowShown="0" headerRowDxfId="1404" dataDxfId="1403">
  <autoFilter ref="A1:G3" xr:uid="{00000000-0009-0000-0100-000013000000}"/>
  <tableColumns count="7">
    <tableColumn id="1" xr3:uid="{00000000-0010-0000-1A00-000001000000}" name="MÓDULO 1 - REMUNERAÇÃO" dataDxfId="1402"/>
    <tableColumn id="2" xr3:uid="{00000000-0010-0000-1A00-000002000000}" name="Salário Base" dataDxfId="1401"/>
    <tableColumn id="3" xr3:uid="{00000000-0010-0000-1A00-000003000000}" name="Periculosidade" dataDxfId="1400">
      <calculatedColumnFormula>D7</calculatedColumnFormula>
    </tableColumn>
    <tableColumn id="4" xr3:uid="{00000000-0010-0000-1A00-000004000000}" name="Adicional _x000a_Noturno" dataDxfId="1399">
      <calculatedColumnFormula>E17</calculatedColumnFormula>
    </tableColumn>
    <tableColumn id="5" xr3:uid="{00000000-0010-0000-1A00-000005000000}" name="Adicional Hora Noturna Reduzida" dataDxfId="1398">
      <calculatedColumnFormula>E22</calculatedColumnFormula>
    </tableColumn>
    <tableColumn id="6" xr3:uid="{00000000-0010-0000-1A00-000006000000}" name="Adicional Insalubridade" dataDxfId="1397">
      <calculatedColumnFormula>D12</calculatedColumnFormula>
    </tableColumn>
    <tableColumn id="7" xr3:uid="{00000000-0010-0000-1A00-000007000000}" name="Total" dataDxfId="1396">
      <calculatedColumnFormula>SUM(B2:F2)</calculatedColumnFormula>
    </tableColumn>
  </tableColumns>
  <tableStyleInfo name="TableStyleLight17"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B000000}" name="Tabela20" displayName="Tabela20" ref="A25:G27" totalsRowShown="0" headerRowDxfId="1395" dataDxfId="1394">
  <autoFilter ref="A25:G27" xr:uid="{00000000-0009-0000-0100-000014000000}"/>
  <tableColumns count="7">
    <tableColumn id="1" xr3:uid="{00000000-0010-0000-1B00-000001000000}" name="MÓDULO 2 - Encargos e Benefícios Anuais, Mensais e Diários" dataDxfId="1393"/>
    <tableColumn id="2" xr3:uid="{00000000-0010-0000-1B00-000002000000}" name="13º Salário " dataDxfId="1392"/>
    <tableColumn id="3" xr3:uid="{00000000-0010-0000-1B00-000003000000}" name="Férias" dataDxfId="1391"/>
    <tableColumn id="4" xr3:uid="{00000000-0010-0000-1B00-000004000000}" name="1/3 Férias" dataDxfId="1390">
      <calculatedColumnFormula>F36</calculatedColumnFormula>
    </tableColumn>
    <tableColumn id="5" xr3:uid="{00000000-0010-0000-1B00-000005000000}" name="Encargos" dataDxfId="1389"/>
    <tableColumn id="6" xr3:uid="{00000000-0010-0000-1B00-000006000000}" name="Benefícios Mensais e Diarios " dataDxfId="1388"/>
    <tableColumn id="7" xr3:uid="{00000000-0010-0000-1B00-000007000000}" name="Total " dataDxfId="1387">
      <calculatedColumnFormula>SUM(B26:F26)</calculatedColumnFormula>
    </tableColumn>
  </tableColumns>
  <tableStyleInfo name="TableStyleLight17"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C000000}" name="Tabela21" displayName="Tabela21" ref="B29:E33" totalsRowShown="0" headerRowDxfId="1386" dataDxfId="1385" tableBorderDxfId="1384">
  <autoFilter ref="B29:E33" xr:uid="{00000000-0009-0000-0100-000015000000}"/>
  <tableColumns count="4">
    <tableColumn id="1" xr3:uid="{00000000-0010-0000-1C00-000001000000}" name="Item" dataDxfId="1383"/>
    <tableColumn id="2" xr3:uid="{00000000-0010-0000-1C00-000002000000}" name="Base de Cálculo" dataDxfId="1382" dataCellStyle="Moeda"/>
    <tableColumn id="3" xr3:uid="{00000000-0010-0000-1C00-000003000000}" name="Percentual" dataDxfId="1381" dataCellStyle="Porcentagem">
      <calculatedColumnFormula>1/12</calculatedColumnFormula>
    </tableColumn>
    <tableColumn id="4" xr3:uid="{00000000-0010-0000-1C00-000004000000}" name="Valor" dataDxfId="1380" dataCellStyle="Moeda">
      <calculatedColumnFormula>C30*D30</calculatedColumnFormula>
    </tableColumn>
  </tableColumns>
  <tableStyleInfo name="TableStyleLight17"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D000000}" name="Tabela22" displayName="Tabela22" ref="A35:F37" totalsRowShown="0" headerRowDxfId="1379" dataDxfId="1378">
  <autoFilter ref="A35:F37" xr:uid="{00000000-0009-0000-0100-000016000000}"/>
  <tableColumns count="6">
    <tableColumn id="1" xr3:uid="{00000000-0010-0000-1D00-000001000000}" name="ADIOCIONAL DE FÉRIAS" dataDxfId="1377">
      <calculatedColumnFormula>A31</calculatedColumnFormula>
    </tableColumn>
    <tableColumn id="2" xr3:uid="{00000000-0010-0000-1D00-000002000000}" name="ITEM" dataDxfId="1376"/>
    <tableColumn id="3" xr3:uid="{00000000-0010-0000-1D00-000003000000}" name="Base de Cálculo" dataDxfId="1375" dataCellStyle="Moeda">
      <calculatedColumnFormula>G2</calculatedColumnFormula>
    </tableColumn>
    <tableColumn id="4" xr3:uid="{00000000-0010-0000-1D00-000004000000}" name="Percentual" dataDxfId="1374" dataCellStyle="Porcentagem">
      <calculatedColumnFormula>1/12</calculatedColumnFormula>
    </tableColumn>
    <tableColumn id="5" xr3:uid="{00000000-0010-0000-1D00-000005000000}" name="Aliquota _x000a_adicional" dataDxfId="1373" dataCellStyle="Porcentagem">
      <calculatedColumnFormula>1/3</calculatedColumnFormula>
    </tableColumn>
    <tableColumn id="6" xr3:uid="{00000000-0010-0000-1D00-000006000000}" name="Valor" dataDxfId="1372" dataCellStyle="Moeda">
      <calculatedColumnFormula>C36*D36*E36</calculatedColumnFormula>
    </tableColumn>
  </tableColumns>
  <tableStyleInfo name="TableStyleLight17"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E000000}" name="Tabela23" displayName="Tabela23" ref="B39:E43" totalsRowShown="0" headerRowDxfId="1371" dataDxfId="1370" tableBorderDxfId="1369">
  <autoFilter ref="B39:E43" xr:uid="{00000000-0009-0000-0100-000017000000}"/>
  <tableColumns count="4">
    <tableColumn id="1" xr3:uid="{00000000-0010-0000-1E00-000001000000}" name="ITEM" dataDxfId="1368"/>
    <tableColumn id="2" xr3:uid="{00000000-0010-0000-1E00-000002000000}" name="Base de Cálculo" dataDxfId="1367" dataCellStyle="Moeda"/>
    <tableColumn id="3" xr3:uid="{00000000-0010-0000-1E00-000003000000}" name="Percentual" dataDxfId="1366" dataCellStyle="Porcentagem"/>
    <tableColumn id="4" xr3:uid="{00000000-0010-0000-1E00-000004000000}" name="Valor" dataDxfId="1365" dataCellStyle="Moeda">
      <calculatedColumnFormula>C40*D40</calculatedColumnFormula>
    </tableColumn>
  </tableColumns>
  <tableStyleInfo name="TableStyleLight17"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F000000}" name="Tabela24" displayName="Tabela24" ref="B45:J49" totalsRowShown="0" headerRowDxfId="1364" dataDxfId="1362" headerRowBorderDxfId="1363">
  <autoFilter ref="B45:J49" xr:uid="{00000000-0009-0000-0100-000018000000}"/>
  <tableColumns count="9">
    <tableColumn id="1" xr3:uid="{00000000-0010-0000-1F00-000001000000}" name="ITEM" dataDxfId="1361"/>
    <tableColumn id="2" xr3:uid="{00000000-0010-0000-1F00-000002000000}" name="Dia trabalhado" dataDxfId="1360"/>
    <tableColumn id="3" xr3:uid="{00000000-0010-0000-1F00-000003000000}" name="valor transporte " dataDxfId="1359"/>
    <tableColumn id="4" xr3:uid="{00000000-0010-0000-1F00-000004000000}" name="Qtd p dia " dataDxfId="1358"/>
    <tableColumn id="5" xr3:uid="{00000000-0010-0000-1F00-000005000000}" name="Custo total " dataDxfId="1357" dataCellStyle="Moeda">
      <calculatedColumnFormula>C46*D46*E46</calculatedColumnFormula>
    </tableColumn>
    <tableColumn id="6" xr3:uid="{00000000-0010-0000-1F00-000006000000}" name="Base de cálculo Desconto" dataDxfId="1356" dataCellStyle="Moeda"/>
    <tableColumn id="7" xr3:uid="{00000000-0010-0000-1F00-000007000000}" name="Percentual de Desconto" dataDxfId="1355" dataCellStyle="Porcentagem"/>
    <tableColumn id="8" xr3:uid="{00000000-0010-0000-1F00-000008000000}" name="Total do Desconto" dataDxfId="1354" dataCellStyle="Moeda">
      <calculatedColumnFormula>G46*H46</calculatedColumnFormula>
    </tableColumn>
    <tableColumn id="9" xr3:uid="{00000000-0010-0000-1F00-000009000000}" name="Custo do Empregador" dataDxfId="1353" dataCellStyle="Moeda">
      <calculatedColumnFormula>F46-I46</calculatedColumnFormula>
    </tableColumn>
  </tableColumns>
  <tableStyleInfo name="TableStyleLight17"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0000000}" name="Tabela25" displayName="Tabela25" ref="B51:E57" totalsRowShown="0" headerRowDxfId="1352" dataDxfId="1350" headerRowBorderDxfId="1351">
  <autoFilter ref="B51:E57" xr:uid="{00000000-0009-0000-0100-000019000000}"/>
  <tableColumns count="4">
    <tableColumn id="1" xr3:uid="{00000000-0010-0000-2000-000001000000}" name="ITEM" dataDxfId="1349"/>
    <tableColumn id="2" xr3:uid="{00000000-0010-0000-2000-000002000000}" name="Base de cálculo " dataDxfId="1348"/>
    <tableColumn id="3" xr3:uid="{00000000-0010-0000-2000-000003000000}" name="Desconto" dataDxfId="1347"/>
    <tableColumn id="4" xr3:uid="{00000000-0010-0000-2000-000004000000}" name="Custo Total" dataDxfId="1346"/>
  </tableColumns>
  <tableStyleInfo name="TableStyleLight17"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21000000}" name="Tabela30" displayName="Tabela30" ref="A65:D71" totalsRowShown="0" headerRowDxfId="1345" dataDxfId="1344">
  <autoFilter ref="A65:D71" xr:uid="{00000000-0009-0000-0100-00001E000000}"/>
  <tableColumns count="4">
    <tableColumn id="1" xr3:uid="{00000000-0010-0000-2100-000001000000}" name="ITEM" dataDxfId="1343"/>
    <tableColumn id="2" xr3:uid="{00000000-0010-0000-2100-000002000000}" name="BASE DE CÁLCULO" dataDxfId="1342" dataCellStyle="Moeda"/>
    <tableColumn id="3" xr3:uid="{00000000-0010-0000-2100-000003000000}" name="PERCENTUAL" dataDxfId="1341" dataCellStyle="Porcentagem">
      <calculatedColumnFormula>'PARAMETROS DA CONTRATAÇÃO'!K17</calculatedColumnFormula>
    </tableColumn>
    <tableColumn id="4" xr3:uid="{00000000-0010-0000-2100-000004000000}" name="VALOR" dataDxfId="1340" dataCellStyle="Moeda">
      <calculatedColumnFormula>B66*C66</calculatedColumnFormula>
    </tableColumn>
  </tableColumns>
  <tableStyleInfo name="TableStyleLight17"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22000000}" name="Tabela31" displayName="Tabela31" ref="A74:D80" totalsRowShown="0" headerRowDxfId="1339" dataDxfId="1338">
  <autoFilter ref="A74:D80" xr:uid="{00000000-0009-0000-0100-00001F000000}"/>
  <tableColumns count="4">
    <tableColumn id="1" xr3:uid="{00000000-0010-0000-2200-000001000000}" name="ITEM" dataDxfId="1337"/>
    <tableColumn id="2" xr3:uid="{00000000-0010-0000-2200-000002000000}" name="BASE DE CÁLCULO" dataDxfId="1336">
      <calculatedColumnFormula>G2+G26+Tabela3339[[#Totals],[Valor]]+Tabela26[[#Totals],[Custo Mensal]]+'MÓDULO 05'!F87</calculatedColumnFormula>
    </tableColumn>
    <tableColumn id="3" xr3:uid="{00000000-0010-0000-2200-000003000000}" name="PERCENTUAL" dataDxfId="1335" dataCellStyle="Porcentagem">
      <calculatedColumnFormula>'PARAMETROS DA CONTRATAÇÃO'!N17</calculatedColumnFormula>
    </tableColumn>
    <tableColumn id="4" xr3:uid="{00000000-0010-0000-2200-000004000000}" name="VALOR" dataDxfId="1334">
      <calculatedColumnFormula>B75*C75</calculatedColumnFormula>
    </tableColumn>
  </tableColumns>
  <tableStyleInfo name="TableStyleLight17"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23000000}" name="Tabela32" displayName="Tabela32" ref="A60:E62" totalsRowShown="0" headerRowDxfId="1333" dataDxfId="1332">
  <autoFilter ref="A60:E62" xr:uid="{00000000-0009-0000-0100-000020000000}"/>
  <tableColumns count="5">
    <tableColumn id="1" xr3:uid="{00000000-0010-0000-2300-000001000000}" name="Categoria" dataDxfId="1331"/>
    <tableColumn id="2" xr3:uid="{00000000-0010-0000-2300-000002000000}" name="Custos Indiretos" dataDxfId="1330" dataCellStyle="Moeda">
      <calculatedColumnFormula>D75</calculatedColumnFormula>
    </tableColumn>
    <tableColumn id="3" xr3:uid="{00000000-0010-0000-2300-000003000000}" name="Lucro " dataDxfId="1329" dataCellStyle="Moeda">
      <calculatedColumnFormula>D66</calculatedColumnFormula>
    </tableColumn>
    <tableColumn id="4" xr3:uid="{00000000-0010-0000-2300-000004000000}" name="Tributos" dataDxfId="1328" dataCellStyle="Moeda">
      <calculatedColumnFormula>D67</calculatedColumnFormula>
    </tableColumn>
    <tableColumn id="5" xr3:uid="{00000000-0010-0000-2300-000005000000}" name="Valor " dataDxfId="1327" dataCellStyle="Moeda">
      <calculatedColumnFormula>SUM(B61:D61)</calculatedColumnFormula>
    </tableColumn>
  </tableColumns>
  <tableStyleInfo name="TableStyleLight17"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24000000}" name="Tabela33" displayName="Tabela33" ref="D5:K12" totalsRowCount="1" headerRowDxfId="1326" dataDxfId="1324" totalsRowDxfId="1323" headerRowBorderDxfId="1325">
  <autoFilter ref="D5:K11" xr:uid="{00000000-0009-0000-0100-00000B000000}"/>
  <tableColumns count="8">
    <tableColumn id="1" xr3:uid="{00000000-0010-0000-2400-000001000000}" name="ITEM" totalsRowLabel="MÓDULO 03 - PROVISÃO PARA RESCISÃO" dataDxfId="1322" totalsRowDxfId="1321"/>
    <tableColumn id="2" xr3:uid="{00000000-0010-0000-2400-000002000000}" name="DESCRIÇÃO" dataDxfId="1320" totalsRowDxfId="1319"/>
    <tableColumn id="3" xr3:uid="{00000000-0010-0000-2400-000003000000}" name="Base Cálculo" dataDxfId="1318" totalsRowDxfId="1317" dataCellStyle="Moeda">
      <calculatedColumnFormula>'DEMAIS MÓDULOS'!$G$3+SUM('DEMAIS MÓDULOS'!$B$27:$D$27)</calculatedColumnFormula>
    </tableColumn>
    <tableColumn id="4" xr3:uid="{00000000-0010-0000-2400-000004000000}" name="Proporção mensal" dataDxfId="1316" totalsRowDxfId="1315" dataCellStyle="Porcentagem">
      <calculatedColumnFormula>$G$8*$H$8*$I$8</calculatedColumnFormula>
    </tableColumn>
    <tableColumn id="5" xr3:uid="{00000000-0010-0000-2400-000005000000}" name="Percentual de Desligamento" dataDxfId="1314" totalsRowDxfId="1313"/>
    <tableColumn id="6" xr3:uid="{00000000-0010-0000-2400-000006000000}" name="% incidencia" dataDxfId="1312" totalsRowDxfId="1311"/>
    <tableColumn id="7" xr3:uid="{00000000-0010-0000-2400-000007000000}" name="% do Item" dataDxfId="1310" totalsRowDxfId="1309">
      <calculatedColumnFormula>Tabela33[[#This Row],[% incidencia]]*Tabela33[[#This Row],[Percentual de Desligamento]]*Tabela33[[#This Row],[Proporção mensal]]</calculatedColumnFormula>
    </tableColumn>
    <tableColumn id="8" xr3:uid="{00000000-0010-0000-2400-000008000000}" name="Valor" totalsRowFunction="sum" dataDxfId="1308" totalsRowDxfId="1307" dataCellStyle="Moeda">
      <calculatedColumnFormula>Tabela33[[#This Row],[% do Item]]*Tabela33[[#This Row],[Base Cálculo]]</calculatedColumnFormula>
    </tableColumn>
  </tableColumns>
  <tableStyleInfo name="TableStyleLight17"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25000000}" name="Tabela3339" displayName="Tabela3339" ref="D15:K22" totalsRowCount="1" headerRowDxfId="1306" dataDxfId="1305" totalsRowDxfId="1303" tableBorderDxfId="1304">
  <autoFilter ref="D15:K21" xr:uid="{00000000-0009-0000-0100-00000C000000}"/>
  <tableColumns count="8">
    <tableColumn id="1" xr3:uid="{00000000-0010-0000-2500-000001000000}" name="ITEM" totalsRowLabel="MÓDULO 03 - PROVISÃO PARA RESCISÃO" dataDxfId="1302" totalsRowDxfId="1301"/>
    <tableColumn id="2" xr3:uid="{00000000-0010-0000-2500-000002000000}" name="DESCRIÇÃO" dataDxfId="1300" totalsRowDxfId="1299"/>
    <tableColumn id="3" xr3:uid="{00000000-0010-0000-2500-000003000000}" name="Base Cálculo" dataDxfId="1298" totalsRowDxfId="1297"/>
    <tableColumn id="4" xr3:uid="{00000000-0010-0000-2500-000004000000}" name="Proporção mensal" dataDxfId="1296" totalsRowDxfId="1295">
      <calculatedColumnFormula>1/12</calculatedColumnFormula>
    </tableColumn>
    <tableColumn id="5" xr3:uid="{00000000-0010-0000-2500-000005000000}" name="Percentual de Desligamento" dataDxfId="1294" totalsRowDxfId="1293"/>
    <tableColumn id="6" xr3:uid="{00000000-0010-0000-2500-000006000000}" name="% incidencia" dataDxfId="1292" totalsRowDxfId="1291"/>
    <tableColumn id="7" xr3:uid="{00000000-0010-0000-2500-000007000000}" name="% do Item" dataDxfId="1290" totalsRowDxfId="1289">
      <calculatedColumnFormula>Tabela3339[[#This Row],[Proporção mensal]]*Tabela3339[[#This Row],[Percentual de Desligamento]]*Tabela3339[[#This Row],[% incidencia]]</calculatedColumnFormula>
    </tableColumn>
    <tableColumn id="8" xr3:uid="{00000000-0010-0000-2500-000008000000}" name="Valor" totalsRowFunction="sum" dataDxfId="1288" totalsRowDxfId="1287" dataCellStyle="Moeda">
      <calculatedColumnFormula>Tabela3339[[#This Row],[% do Item]]*Tabela3339[[#This Row],[Base Cálculo]]</calculatedColumnFormula>
    </tableColumn>
  </tableColumns>
  <tableStyleInfo name="TableStyleLight17"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26000000}" name="Tabela17" displayName="Tabela17" ref="A4:B6" totalsRowShown="0" headerRowDxfId="1286" dataDxfId="1285" headerRowCellStyle="Porcentagem" dataCellStyle="Porcentagem">
  <autoFilter ref="A4:B6" xr:uid="{00000000-0009-0000-0100-000011000000}"/>
  <tableColumns count="2">
    <tableColumn id="1" xr3:uid="{00000000-0010-0000-2600-000001000000}" name="% MULTA DE FGTS" dataDxfId="1284" dataCellStyle="Porcentagem"/>
    <tableColumn id="2" xr3:uid="{00000000-0010-0000-2600-000002000000}" name="PERCENTUAIS" dataDxfId="1283" dataCellStyle="Porcentagem"/>
  </tableColumns>
  <tableStyleInfo name="TableStyleLight17"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7000000}" name="Tabela35" displayName="Tabela35" ref="A2:G9" totalsRowShown="0" headerRowDxfId="1282" dataDxfId="1281">
  <autoFilter ref="A2:G9" xr:uid="{00000000-0009-0000-0100-000021000000}"/>
  <tableColumns count="7">
    <tableColumn id="1" xr3:uid="{00000000-0010-0000-2700-000001000000}" name="ITEM" dataDxfId="1280"/>
    <tableColumn id="2" xr3:uid="{00000000-0010-0000-2700-000002000000}" name="DESCRIÇÃO" dataDxfId="1279"/>
    <tableColumn id="3" xr3:uid="{00000000-0010-0000-2700-000003000000}" name="MEDIDA" dataDxfId="1278"/>
    <tableColumn id="4" xr3:uid="{00000000-0010-0000-2700-000004000000}" name="QTD/ANO" dataDxfId="1277"/>
    <tableColumn id="5" xr3:uid="{00000000-0010-0000-2700-000005000000}" name="Valor Unitário" dataDxfId="1276">
      <calculatedColumnFormula>'PARAMETROS DA CONTRATAÇÃO'!Y7</calculatedColumnFormula>
    </tableColumn>
    <tableColumn id="6" xr3:uid="{00000000-0010-0000-2700-000006000000}" name="Valor Mensal" dataDxfId="1275"/>
    <tableColumn id="7" xr3:uid="{00000000-0010-0000-2700-000007000000}" name="Valor Total" dataDxfId="1274"/>
  </tableColumns>
  <tableStyleInfo name="TableStyleLight17"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28000000}" name="Tabela36" displayName="Tabela36" ref="A13:I60" totalsRowCount="1" headerRowDxfId="1273" dataDxfId="1272" totalsRowDxfId="1271">
  <autoFilter ref="A13:I59" xr:uid="{00000000-0009-0000-0100-000022000000}"/>
  <tableColumns count="9">
    <tableColumn id="1" xr3:uid="{00000000-0010-0000-2800-000001000000}" name="ITEM" totalsRowLabel="TOTAL GERAL" dataDxfId="1270" totalsRowDxfId="1269"/>
    <tableColumn id="2" xr3:uid="{00000000-0010-0000-2800-000002000000}" name="DESCRIÇÃO" dataDxfId="1268" totalsRowDxfId="1267">
      <calculatedColumnFormula>'PARAMETROS DA CONTRATAÇÃO'!X33</calculatedColumnFormula>
    </tableColumn>
    <tableColumn id="3" xr3:uid="{00000000-0010-0000-2800-000003000000}" name="UNIDADE" dataDxfId="1266" totalsRowDxfId="1265"/>
    <tableColumn id="4" xr3:uid="{00000000-0010-0000-2800-000004000000}" name="CATMAT" dataDxfId="1264" totalsRowDxfId="1263">
      <calculatedColumnFormula>'PARAMETROS DA CONTRATAÇÃO'!Y33</calculatedColumnFormula>
    </tableColumn>
    <tableColumn id="5" xr3:uid="{00000000-0010-0000-2800-000005000000}" name="QTDE. MENSAL" totalsRowFunction="sum" dataDxfId="1262" totalsRowDxfId="1261">
      <calculatedColumnFormula>F14/12</calculatedColumnFormula>
    </tableColumn>
    <tableColumn id="6" xr3:uid="{00000000-0010-0000-2800-000006000000}" name="QTDE. ANUAL" totalsRowFunction="sum" dataDxfId="1260" totalsRowDxfId="1259"/>
    <tableColumn id="7" xr3:uid="{00000000-0010-0000-2800-000007000000}" name="PREÇO UNITÁRIO (R$)" totalsRowFunction="sum" dataDxfId="1258" totalsRowDxfId="1257" dataCellStyle="Moeda">
      <calculatedColumnFormula>'PARAMETROS DA CONTRATAÇÃO'!Z33</calculatedColumnFormula>
    </tableColumn>
    <tableColumn id="8" xr3:uid="{00000000-0010-0000-2800-000008000000}" name="CUSTO MENSAL (R$)" totalsRowFunction="sum" dataDxfId="1256" totalsRowDxfId="1255" dataCellStyle="Moeda">
      <calculatedColumnFormula>ROUND(E14*G14,2)</calculatedColumnFormula>
    </tableColumn>
    <tableColumn id="9" xr3:uid="{00000000-0010-0000-2800-000009000000}" name="CUSTO ANUAL (R$)" totalsRowFunction="sum" dataDxfId="1254" totalsRowDxfId="1253" dataCellStyle="Moeda">
      <calculatedColumnFormula>ROUND(F14*G14,2)</calculatedColumnFormula>
    </tableColumn>
  </tableColumns>
  <tableStyleInfo name="TableStyleLight17"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29000000}" name="Tabela37" displayName="Tabela37" ref="A66:J81" totalsRowCount="1" headerRowDxfId="1252" dataDxfId="1250" totalsRowDxfId="1249" headerRowBorderDxfId="1251">
  <autoFilter ref="A66:J80" xr:uid="{00000000-0009-0000-0100-000024000000}"/>
  <tableColumns count="10">
    <tableColumn id="1" xr3:uid="{00000000-0010-0000-2900-000001000000}" name="ITEM" totalsRowLabel="TOTAL GERAL" dataDxfId="1248" totalsRowDxfId="1247"/>
    <tableColumn id="2" xr3:uid="{00000000-0010-0000-2900-000002000000}" name="DESCRIÇÃO" dataDxfId="1246" totalsRowDxfId="1245">
      <calculatedColumnFormula>'PARAMETROS DA CONTRATAÇÃO'!X16</calculatedColumnFormula>
    </tableColumn>
    <tableColumn id="3" xr3:uid="{00000000-0010-0000-2900-000003000000}" name="COD. RECEITA" dataDxfId="1244" totalsRowDxfId="1243">
      <calculatedColumnFormula>'PARAMETROS DA CONTRATAÇÃO'!Y16</calculatedColumnFormula>
    </tableColumn>
    <tableColumn id="4" xr3:uid="{00000000-0010-0000-2900-000004000000}" name="VIDA ÚTIL MESES" dataDxfId="1242" totalsRowDxfId="1241">
      <calculatedColumnFormula>10*12</calculatedColumnFormula>
    </tableColumn>
    <tableColumn id="5" xr3:uid="{00000000-0010-0000-2900-000005000000}" name="QUANTIDADE ITEM" dataDxfId="1240" totalsRowDxfId="1239" dataCellStyle="Moeda"/>
    <tableColumn id="6" xr3:uid="{00000000-0010-0000-2900-000006000000}" name="PREÇO MEDIO UNITÁRIO" dataDxfId="1238" totalsRowDxfId="1237" dataCellStyle="Moeda">
      <calculatedColumnFormula>'PARAMETROS DA CONTRATAÇÃO'!Z16</calculatedColumnFormula>
    </tableColumn>
    <tableColumn id="7" xr3:uid="{00000000-0010-0000-2900-000007000000}" name="(%)VALOR RESIDUAL" dataDxfId="1236" totalsRowDxfId="1235" dataCellStyle="Porcentagem"/>
    <tableColumn id="8" xr3:uid="{00000000-0010-0000-2900-000008000000}" name="BASE DE CÁLCULO DA DEPRECIAÇÃO" dataDxfId="1234" totalsRowDxfId="1233" dataCellStyle="Moeda">
      <calculatedColumnFormula>(Tabela37[[#This Row],[QUANTIDADE ITEM]]*Tabela37[[#This Row],[PREÇO MEDIO UNITÁRIO]])-((Tabela37[[#This Row],[PREÇO MEDIO UNITÁRIO]]*Tabela37[[#This Row],[QUANTIDADE ITEM]])*10%)</calculatedColumnFormula>
    </tableColumn>
    <tableColumn id="9" xr3:uid="{00000000-0010-0000-2900-000009000000}" name="DEPRECIAÇÃO MENSAL" totalsRowFunction="sum" dataDxfId="1232" totalsRowDxfId="1231" dataCellStyle="Moeda">
      <calculatedColumnFormula>H67/D67</calculatedColumnFormula>
    </tableColumn>
    <tableColumn id="10" xr3:uid="{00000000-0010-0000-2900-00000A000000}" name="DEPRECIAÇÃO ANUAL" totalsRowFunction="sum" dataDxfId="1230" totalsRowDxfId="1229" dataCellStyle="Moeda">
      <calculatedColumnFormula>I67*12</calculatedColumnFormula>
    </tableColumn>
  </tableColumns>
  <tableStyleInfo name="TableStyleLight17"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2A000000}" name="Tabela38" displayName="Tabela38" ref="B86:F88" totalsRowShown="0" headerRowDxfId="1228" dataDxfId="1227">
  <autoFilter ref="B86:F88" xr:uid="{00000000-0009-0000-0100-000025000000}"/>
  <tableColumns count="5">
    <tableColumn id="1" xr3:uid="{00000000-0010-0000-2A00-000001000000}" name="CATEGORIA " dataDxfId="1226"/>
    <tableColumn id="2" xr3:uid="{00000000-0010-0000-2A00-000002000000}" name="UTENSÍLIOS" dataDxfId="1225" dataCellStyle="Moeda">
      <calculatedColumnFormula>$H$62</calculatedColumnFormula>
    </tableColumn>
    <tableColumn id="3" xr3:uid="{00000000-0010-0000-2A00-000003000000}" name="UNIFORMES" dataDxfId="1224" dataCellStyle="Moeda">
      <calculatedColumnFormula>F8</calculatedColumnFormula>
    </tableColumn>
    <tableColumn id="4" xr3:uid="{00000000-0010-0000-2A00-000004000000}" name="EQUIPAMENTOS" dataDxfId="1223" dataCellStyle="Moeda">
      <calculatedColumnFormula>$I$83</calculatedColumnFormula>
    </tableColumn>
    <tableColumn id="5" xr3:uid="{00000000-0010-0000-2A00-000005000000}" name="TOTAL" dataDxfId="1222" dataCellStyle="Moeda">
      <calculatedColumnFormula>SUM(C87:E87)</calculatedColumnFormula>
    </tableColumn>
  </tableColumns>
  <tableStyleInfo name="TableStyleLight17"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2B000000}" name="Tabela26" displayName="Tabela26" ref="A2:I15" totalsRowCount="1" headerRowDxfId="1205" dataDxfId="1204" totalsRowDxfId="1203">
  <autoFilter ref="A2:I14" xr:uid="{00000000-0009-0000-0100-00001A000000}"/>
  <tableColumns count="9">
    <tableColumn id="1" xr3:uid="{00000000-0010-0000-2B00-000001000000}" name="4.1 - Substituto nas Ausências Legais" totalsRowLabel="MÓDULO 04 - CUSTO DE REPOSIÇÃO DO PROFISSIONAL AUSENTE" dataDxfId="1202" totalsRowDxfId="1201"/>
    <tableColumn id="2" xr3:uid="{00000000-0010-0000-2B00-000002000000}" name="Categoria" dataDxfId="1200" totalsRowDxfId="1199"/>
    <tableColumn id="3" xr3:uid="{00000000-0010-0000-2B00-000003000000}" name="Duração Legal" dataDxfId="1198" totalsRowDxfId="1197"/>
    <tableColumn id="4" xr3:uid="{00000000-0010-0000-2B00-000004000000}" name="Proporção Mensal" dataDxfId="1196" totalsRowDxfId="1195" dataCellStyle="Porcentagem">
      <calculatedColumnFormula>C3/30</calculatedColumnFormula>
    </tableColumn>
    <tableColumn id="5" xr3:uid="{00000000-0010-0000-2B00-000005000000}" name="% Anual" dataDxfId="1194" totalsRowDxfId="1193" dataCellStyle="Porcentagem">
      <calculatedColumnFormula>1/12</calculatedColumnFormula>
    </tableColumn>
    <tableColumn id="6" xr3:uid="{00000000-0010-0000-2B00-000006000000}" name="Percentual de Incidencia Estudo" dataDxfId="1192" totalsRowDxfId="1191" dataCellStyle="Porcentagem">
      <calculatedColumnFormula>'PARAMETROS DA CONTRATAÇÃO'!U7</calculatedColumnFormula>
    </tableColumn>
    <tableColumn id="7" xr3:uid="{00000000-0010-0000-2B00-000007000000}" name="% do Item" dataDxfId="1190" totalsRowDxfId="1189" dataCellStyle="Porcentagem">
      <calculatedColumnFormula>F3*E3*D3</calculatedColumnFormula>
    </tableColumn>
    <tableColumn id="8" xr3:uid="{00000000-0010-0000-2B00-000008000000}" name="Base de Cálculo" dataDxfId="1188" totalsRowDxfId="1187" dataCellStyle="Moeda">
      <calculatedColumnFormula>'DEMAIS MÓDULOS'!$G$2+'DEMAIS MÓDULOS'!$G$26+Tabela3339[[#Totals],[Valor]]</calculatedColumnFormula>
    </tableColumn>
    <tableColumn id="9" xr3:uid="{00000000-0010-0000-2B00-000009000000}" name="Custo Mensal" totalsRowFunction="sum" dataDxfId="1186" totalsRowDxfId="1185" dataCellStyle="Moeda">
      <calculatedColumnFormula>G3*H3</calculatedColumnFormula>
    </tableColumn>
  </tableColumns>
  <tableStyleInfo name="TableStyleLight17"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C000000}" name="Tabela2628" displayName="Tabela2628" ref="L2:T15" totalsRowCount="1" headerRowDxfId="1184" dataDxfId="1183" totalsRowDxfId="1182">
  <autoFilter ref="L2:T14" xr:uid="{00000000-0009-0000-0100-00001B000000}"/>
  <tableColumns count="9">
    <tableColumn id="1" xr3:uid="{00000000-0010-0000-2C00-000001000000}" name="4.1 - Substituto nas Ausências Legais" totalsRowLabel="MÓDULO 04 - CUSTO DE REPOSIÇÃO DO PROFISSIONAL AUSENTE" dataDxfId="1181" totalsRowDxfId="1180"/>
    <tableColumn id="2" xr3:uid="{00000000-0010-0000-2C00-000002000000}" name="Categoria" dataDxfId="1179" totalsRowDxfId="1178"/>
    <tableColumn id="3" xr3:uid="{00000000-0010-0000-2C00-000003000000}" name="Duração Legal" dataDxfId="1177" totalsRowDxfId="1176"/>
    <tableColumn id="4" xr3:uid="{00000000-0010-0000-2C00-000004000000}" name="Proporção Mensal" dataDxfId="1175" totalsRowDxfId="1174" dataCellStyle="Porcentagem">
      <calculatedColumnFormula>N3/30</calculatedColumnFormula>
    </tableColumn>
    <tableColumn id="5" xr3:uid="{00000000-0010-0000-2C00-000005000000}" name="% Anual" dataDxfId="1173" totalsRowDxfId="1172" dataCellStyle="Porcentagem">
      <calculatedColumnFormula>1/12</calculatedColumnFormula>
    </tableColumn>
    <tableColumn id="6" xr3:uid="{00000000-0010-0000-2C00-000006000000}" name="Percentual de Incidencia Estudo" dataDxfId="1171" totalsRowDxfId="1170" dataCellStyle="Porcentagem">
      <calculatedColumnFormula>'PARAMETROS DA CONTRATAÇÃO'!U7</calculatedColumnFormula>
    </tableColumn>
    <tableColumn id="7" xr3:uid="{00000000-0010-0000-2C00-000007000000}" name="% do Item" dataDxfId="1169" totalsRowDxfId="1168" dataCellStyle="Porcentagem">
      <calculatedColumnFormula>Q3*P3*O3</calculatedColumnFormula>
    </tableColumn>
    <tableColumn id="8" xr3:uid="{00000000-0010-0000-2C00-000008000000}" name="Base de Cálculo" dataDxfId="1167" totalsRowDxfId="1166" dataCellStyle="Moeda">
      <calculatedColumnFormula>SUM('DEMAIS MÓDULOS'!$G$3+'DEMAIS MÓDULOS'!$G$27+Tabela33[[#Totals],[Valor]])</calculatedColumnFormula>
    </tableColumn>
    <tableColumn id="9" xr3:uid="{00000000-0010-0000-2C00-000009000000}" name="Custo Mensal" totalsRowFunction="sum" dataDxfId="1165" totalsRowDxfId="1164" dataCellStyle="Moeda">
      <calculatedColumnFormula>R3*S3</calculatedColumnFormula>
    </tableColumn>
  </tableColumns>
  <tableStyleInfo name="TableStyleLight17"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2D000000}" name="Tabela5" displayName="Tabela5" ref="A1:AB51" totalsRowCount="1" headerRowDxfId="1163" dataDxfId="1162" totalsRowDxfId="1160" tableBorderDxfId="1161" headerRowCellStyle="Normal 4" dataCellStyle="Normal 4">
  <autoFilter ref="A1:AB50" xr:uid="{00000000-0009-0000-0100-000005000000}"/>
  <tableColumns count="28">
    <tableColumn id="1" xr3:uid="{00000000-0010-0000-2D00-000001000000}" name="Plano" totalsRowLabel="Total" dataDxfId="1159" totalsRowDxfId="1158" dataCellStyle="Normal 4"/>
    <tableColumn id="2" xr3:uid="{00000000-0010-0000-2D00-000002000000}" name="Local" dataDxfId="1157" totalsRowDxfId="1156" dataCellStyle="Normal 4"/>
    <tableColumn id="3" xr3:uid="{00000000-0010-0000-2D00-000003000000}" name="Atividades" dataDxfId="1155" totalsRowDxfId="1154" dataCellStyle="Normal 4"/>
    <tableColumn id="4" xr3:uid="{00000000-0010-0000-2D00-000004000000}" name="Pavimento" dataDxfId="1153" totalsRowDxfId="1152" dataCellStyle="Normal 4"/>
    <tableColumn id="5" xr3:uid="{00000000-0010-0000-2D00-000005000000}" name="Orientação" dataDxfId="1151" totalsRowDxfId="1150" dataCellStyle="Normal 4"/>
    <tableColumn id="6" xr3:uid="{00000000-0010-0000-2D00-000006000000}" name="Superfície" dataDxfId="1149" totalsRowDxfId="1148" dataCellStyle="Normal 4"/>
    <tableColumn id="7" xr3:uid="{00000000-0010-0000-2D00-000007000000}" name="Tamanho Real" totalsRowFunction="sum" dataDxfId="1147" totalsRowDxfId="1146" dataCellStyle="Normal 4"/>
    <tableColumn id="8" xr3:uid="{00000000-0010-0000-2D00-000008000000}" name="Periodicidade" dataDxfId="1145" totalsRowDxfId="1144" dataCellStyle="Normal 4"/>
    <tableColumn id="9" xr3:uid="{00000000-0010-0000-2D00-000009000000}" name="Produtividade" dataDxfId="1143" totalsRowDxfId="1142" dataCellStyle="Normal 4"/>
    <tableColumn id="10" xr3:uid="{00000000-0010-0000-2D00-00000A000000}" name="Frequência" dataDxfId="1141" totalsRowDxfId="1140" dataCellStyle="Normal 4"/>
    <tableColumn id="11" xr3:uid="{00000000-0010-0000-2D00-00000B000000}" name="Rotina Diária" dataDxfId="1139" totalsRowDxfId="1138">
      <calculatedColumnFormula>IF(Tabela5[[#This Row],[Periodicidade]]="","",(VLOOKUP(Tabela5[[#This Row],[Periodicidade]],'PADRAO E REFERENCIA'!$F$3:$J$7,3,FALSE)*Tabela5[[#This Row],[Frequência]]))</calculatedColumnFormula>
    </tableColumn>
    <tableColumn id="12" xr3:uid="{00000000-0010-0000-2D00-00000C000000}" name="Área Efetiva em Diária" totalsRowFunction="sum" dataDxfId="1137" totalsRowDxfId="1136" dataCellStyle="Normal 4">
      <calculatedColumnFormula>IF(Tabela5[[#This Row],[Rotina Diária]]="","",Tabela5[[#This Row],[Tamanho Real]]*Tabela5[[#This Row],[Rotina Diária]])</calculatedColumnFormula>
    </tableColumn>
    <tableColumn id="23" xr3:uid="{00000000-0010-0000-2D00-000017000000}" name="Mão de Obras" totalsRowFunction="sum" dataDxfId="1135" totalsRowDxfId="1134" dataCellStyle="Normal 4">
      <calculatedColumnFormula>Tabela5[[#This Row],[Área Efetiva em Diária]]/Tabela5[[#This Row],[Produtividade]]</calculatedColumnFormula>
    </tableColumn>
    <tableColumn id="27" xr3:uid="{00000000-0010-0000-2D00-00001B000000}" name="Produtividade (1/M2)" dataDxfId="1133" totalsRowDxfId="1132" dataCellStyle="Normal 4">
      <calculatedColumnFormula>(IF(Tabela5[[#This Row],[Produtividade]]="","",1/Tabela5[[#This Row],[Produtividade]]))</calculatedColumnFormula>
    </tableColumn>
    <tableColumn id="26" xr3:uid="{00000000-0010-0000-2D00-00001A000000}" name="Frequência de Horas no Mês" dataDxfId="1131" totalsRowDxfId="1130" dataCellStyle="Normal 4">
      <calculatedColumnFormula>IF(Tabela5[[#This Row],[Produtividade]]="","",(VLOOKUP(Tabela5[[#This Row],[Periodicidade]],Tabela3[#All],2,FALSE)))</calculatedColumnFormula>
    </tableColumn>
    <tableColumn id="25" xr3:uid="{00000000-0010-0000-2D00-000019000000}" name="Jornada de Trabalho mês" dataDxfId="1129" totalsRowDxfId="1128" dataCellStyle="Normal 4">
      <calculatedColumnFormula>1/Tabela5[[#This Row],[Frequência de Horas no Mês]]</calculatedColumnFormula>
    </tableColumn>
    <tableColumn id="24" xr3:uid="{00000000-0010-0000-2D00-000018000000}" name="Proporção de Horas Trabalhadas pela Produtividade Adotada2" dataDxfId="1127" totalsRowDxfId="1126" dataCellStyle="Normal 4">
      <calculatedColumnFormula>Tabela5[[#This Row],[Jornada de Trabalho mês]]*Tabela5[[#This Row],[Frequência de Horas no Mês]]*Tabela5[[#This Row],[Produtividade (1/M2)]]</calculatedColumnFormula>
    </tableColumn>
    <tableColumn id="14" xr3:uid="{00000000-0010-0000-2D00-00000E000000}" name=" Valor Total por Agente de Limpeza " totalsRowFunction="average" dataDxfId="1125" totalsRowDxfId="1124" dataCellStyle="Normal 4">
      <calculatedColumnFormula>IF(Tabela5[[#This Row],[Atividades]]&lt;&gt;"Roçar",'PLANILHA DE CUSTOS'!$G$14,'PLANILHA DE CUSTOS'!$G$15)</calculatedColumnFormula>
    </tableColumn>
    <tableColumn id="15" xr3:uid="{00000000-0010-0000-2D00-00000F000000}" name=" Valor Total por Líder de Serviços " totalsRowFunction="average" dataDxfId="1123" totalsRowDxfId="1122" dataCellStyle="Normal 4">
      <calculatedColumnFormula>'PLANILHA DE CUSTOS'!$G$92</calculatedColumnFormula>
    </tableColumn>
    <tableColumn id="16" xr3:uid="{00000000-0010-0000-2D00-000010000000}" name="Custo do M2 limpo pelo Agente" totalsRowFunction="average" dataDxfId="1121" totalsRowDxfId="1120" dataCellStyle="Normal 4">
      <calculatedColumnFormula>IF(Tabela5[[#This Row],[Proporção de Horas Trabalhadas pela Produtividade Adotada2]]="","",Tabela5[[#This Row],[Proporção de Horas Trabalhadas pela Produtividade Adotada2]]*Tabela5[[#This Row],[ Valor Total por Agente de Limpeza ]])</calculatedColumnFormula>
    </tableColumn>
    <tableColumn id="17" xr3:uid="{00000000-0010-0000-2D00-000011000000}" name="Custo do M2 limpo pelo Líder" totalsRowFunction="average" dataDxfId="1119" totalsRowDxfId="1118" dataCellStyle="Normal 4">
      <calculatedColumnFormula>IF(Tabela5[[#This Row],[Proporção de Horas Trabalhadas pela Produtividade Adotada2]]="","",Tabela5[[#This Row],[ Valor Total por Líder de Serviços ]]/Tabela5[[#Totals],[Mão de Obras]]*Tabela5[[#This Row],[Proporção de Horas Trabalhadas pela Produtividade Adotada2]])</calculatedColumnFormula>
    </tableColumn>
    <tableColumn id="18" xr3:uid="{00000000-0010-0000-2D00-000012000000}" name="Custo Total do M2 limpo" totalsRowFunction="average" dataDxfId="1117" totalsRowDxfId="1116" dataCellStyle="Normal 4">
      <calculatedColumnFormula>IF(Tabela5[[#This Row],[Proporção de Horas Trabalhadas pela Produtividade Adotada2]]="","",Tabela5[[#This Row],[Custo do M2 limpo pelo Líder]]+Tabela5[[#This Row],[Custo do M2 limpo pelo Agente]])</calculatedColumnFormula>
    </tableColumn>
    <tableColumn id="22" xr3:uid="{00000000-0010-0000-2D00-000016000000}" name="Área Final para Remuneração" totalsRowFunction="sum" dataDxfId="1115" totalsRowDxfId="1114" dataCellStyle="Normal 4">
      <calculatedColumnFormula>IF(Tabela5[[#This Row],[Proporção de Horas Trabalhadas pela Produtividade Adotada2]]="","",Tabela5[[#This Row],[Área Efetiva em Diária]])</calculatedColumnFormula>
    </tableColumn>
    <tableColumn id="29" xr3:uid="{00000000-0010-0000-2D00-00001D000000}" name="Custo Mensal Estimado Agente" totalsRowFunction="sum" dataDxfId="1113" totalsRowDxfId="1112" dataCellStyle="Normal 4">
      <calculatedColumnFormula>Tabela5[[#This Row],[Custo do M2 limpo pelo Agente]]*Tabela5[[#This Row],[Área Efetiva em Diária]]</calculatedColumnFormula>
    </tableColumn>
    <tableColumn id="28" xr3:uid="{00000000-0010-0000-2D00-00001C000000}" name="Custo Mensal Estimado Lider" totalsRowFunction="sum" dataDxfId="1111" totalsRowDxfId="1110" dataCellStyle="Normal 4">
      <calculatedColumnFormula>Tabela5[[#This Row],[Custo do M2 limpo pelo Líder]]*Tabela5[[#This Row],[Área Efetiva em Diária]]</calculatedColumnFormula>
    </tableColumn>
    <tableColumn id="19" xr3:uid="{00000000-0010-0000-2D00-000013000000}" name="Remuneração Mensal" totalsRowFunction="sum" dataDxfId="1109" totalsRowDxfId="1108" dataCellStyle="Moeda">
      <calculatedColumnFormula>IF(Tabela5[[#Totals],[Mão de Obras]]&lt;=4,Tabela5[[#This Row],[Custo do M2 limpo pelo Agente]]*Tabela5[[#This Row],[Área Final para Remuneração]],Tabela5[[#This Row],[Custo Total do M2 limpo]]*Tabela5[[#This Row],[Área Final para Remuneração]])</calculatedColumnFormula>
    </tableColumn>
    <tableColumn id="20" xr3:uid="{00000000-0010-0000-2D00-000014000000}" name="Tempo Unitário Estimado das Atividades" totalsRowFunction="sum" dataDxfId="1107" totalsRowDxfId="1106" dataCellStyle="Normal 4">
      <calculatedColumnFormula>IF(Tabela5[[#This Row],[Área Final para Remuneração]]="","",((Tabela5[[#This Row],[Área Efetiva em Diária]])*(8.8))/Tabela5[[#This Row],[Produtividade]]/24)</calculatedColumnFormula>
    </tableColumn>
    <tableColumn id="21" xr3:uid="{00000000-0010-0000-2D00-000015000000}" name="Tempo Total Estimado das Atividades" totalsRowFunction="sum" dataDxfId="1105" totalsRowDxfId="1104" dataCellStyle="Normal 4">
      <calculatedColumnFormula>IF(Tabela5[[#This Row],[Área Final para Remuneração]]="","",((Tabela5[[#This Row],[Área Efetiva em Diária]])*(8.8))/Tabela5[[#This Row],[Produtividade]]/24*Tabela5[[#This Row],[Frequência]])</calculatedColumnFormula>
    </tableColumn>
  </tableColumns>
  <tableStyleInfo name="TableStyleMedium3"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5" Type="http://schemas.openxmlformats.org/officeDocument/2006/relationships/table" Target="../tables/table4.xml"/><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s>
</file>

<file path=xl/worksheets/_rels/sheet4.xml.rels><?xml version="1.0" encoding="UTF-8" standalone="yes"?>
<Relationships xmlns="http://schemas.openxmlformats.org/package/2006/relationships"><Relationship Id="rId8" Type="http://schemas.openxmlformats.org/officeDocument/2006/relationships/table" Target="../tables/table14.xml"/><Relationship Id="rId13" Type="http://schemas.openxmlformats.org/officeDocument/2006/relationships/table" Target="../tables/table19.xml"/><Relationship Id="rId3" Type="http://schemas.openxmlformats.org/officeDocument/2006/relationships/vmlDrawing" Target="../drawings/vmlDrawing1.vml"/><Relationship Id="rId7" Type="http://schemas.openxmlformats.org/officeDocument/2006/relationships/table" Target="../tables/table13.xml"/><Relationship Id="rId12" Type="http://schemas.openxmlformats.org/officeDocument/2006/relationships/table" Target="../tables/table18.xml"/><Relationship Id="rId2" Type="http://schemas.openxmlformats.org/officeDocument/2006/relationships/drawing" Target="../drawings/drawing1.xml"/><Relationship Id="rId1" Type="http://schemas.openxmlformats.org/officeDocument/2006/relationships/printerSettings" Target="../printerSettings/printerSettings3.bin"/><Relationship Id="rId6" Type="http://schemas.openxmlformats.org/officeDocument/2006/relationships/table" Target="../tables/table12.xml"/><Relationship Id="rId11" Type="http://schemas.openxmlformats.org/officeDocument/2006/relationships/table" Target="../tables/table17.xml"/><Relationship Id="rId5" Type="http://schemas.openxmlformats.org/officeDocument/2006/relationships/table" Target="../tables/table11.xml"/><Relationship Id="rId15" Type="http://schemas.openxmlformats.org/officeDocument/2006/relationships/comments" Target="../comments1.xml"/><Relationship Id="rId10" Type="http://schemas.openxmlformats.org/officeDocument/2006/relationships/table" Target="../tables/table16.xml"/><Relationship Id="rId4" Type="http://schemas.openxmlformats.org/officeDocument/2006/relationships/table" Target="../tables/table10.xml"/><Relationship Id="rId9" Type="http://schemas.openxmlformats.org/officeDocument/2006/relationships/table" Target="../tables/table15.xml"/><Relationship Id="rId14" Type="http://schemas.openxmlformats.org/officeDocument/2006/relationships/table" Target="../tables/table20.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printerSettings" Target="../printerSettings/printerSettings5.bin"/><Relationship Id="rId5" Type="http://schemas.openxmlformats.org/officeDocument/2006/relationships/table" Target="../tables/table25.xml"/><Relationship Id="rId4" Type="http://schemas.openxmlformats.org/officeDocument/2006/relationships/table" Target="../tables/table24.xml"/></Relationships>
</file>

<file path=xl/worksheets/_rels/sheet8.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table" Target="../tables/table32.xml"/><Relationship Id="rId13" Type="http://schemas.openxmlformats.org/officeDocument/2006/relationships/comments" Target="../comments2.xml"/><Relationship Id="rId3" Type="http://schemas.openxmlformats.org/officeDocument/2006/relationships/table" Target="../tables/table27.xml"/><Relationship Id="rId7" Type="http://schemas.openxmlformats.org/officeDocument/2006/relationships/table" Target="../tables/table31.xml"/><Relationship Id="rId12" Type="http://schemas.openxmlformats.org/officeDocument/2006/relationships/table" Target="../tables/table36.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6" Type="http://schemas.openxmlformats.org/officeDocument/2006/relationships/table" Target="../tables/table30.xml"/><Relationship Id="rId11" Type="http://schemas.openxmlformats.org/officeDocument/2006/relationships/table" Target="../tables/table35.xml"/><Relationship Id="rId5" Type="http://schemas.openxmlformats.org/officeDocument/2006/relationships/table" Target="../tables/table29.xml"/><Relationship Id="rId10" Type="http://schemas.openxmlformats.org/officeDocument/2006/relationships/table" Target="../tables/table34.xml"/><Relationship Id="rId4" Type="http://schemas.openxmlformats.org/officeDocument/2006/relationships/table" Target="../tables/table28.xml"/><Relationship Id="rId9" Type="http://schemas.openxmlformats.org/officeDocument/2006/relationships/table" Target="../tables/table33.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37.xml"/><Relationship Id="rId2" Type="http://schemas.openxmlformats.org/officeDocument/2006/relationships/vmlDrawing" Target="../drawings/vmlDrawing3.vml"/><Relationship Id="rId1" Type="http://schemas.openxmlformats.org/officeDocument/2006/relationships/printerSettings" Target="../printerSettings/printerSettings8.bin"/><Relationship Id="rId6" Type="http://schemas.openxmlformats.org/officeDocument/2006/relationships/comments" Target="../comments3.xml"/><Relationship Id="rId5" Type="http://schemas.openxmlformats.org/officeDocument/2006/relationships/table" Target="../tables/table39.xml"/><Relationship Id="rId4" Type="http://schemas.openxmlformats.org/officeDocument/2006/relationships/table" Target="../tables/table38.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41.xml"/><Relationship Id="rId2" Type="http://schemas.openxmlformats.org/officeDocument/2006/relationships/table" Target="../tables/table40.xml"/><Relationship Id="rId1" Type="http://schemas.openxmlformats.org/officeDocument/2006/relationships/printerSettings" Target="../printerSettings/printerSettings9.bin"/><Relationship Id="rId5" Type="http://schemas.openxmlformats.org/officeDocument/2006/relationships/table" Target="../tables/table43.xml"/><Relationship Id="rId4" Type="http://schemas.openxmlformats.org/officeDocument/2006/relationships/table" Target="../tables/table42.xm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ivotTable" Target="../pivotTables/pivotTable2.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44.xml"/><Relationship Id="rId2" Type="http://schemas.openxmlformats.org/officeDocument/2006/relationships/vmlDrawing" Target="../drawings/vmlDrawing4.vml"/><Relationship Id="rId1" Type="http://schemas.openxmlformats.org/officeDocument/2006/relationships/printerSettings" Target="../printerSettings/printerSettings11.bin"/><Relationship Id="rId5" Type="http://schemas.openxmlformats.org/officeDocument/2006/relationships/comments" Target="../comments4.xml"/><Relationship Id="rId4" Type="http://schemas.openxmlformats.org/officeDocument/2006/relationships/table" Target="../tables/table45.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mte.gov.br/legislacao/normas_regulamentadoras/nr_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showGridLines="0" topLeftCell="B1" workbookViewId="0">
      <selection activeCell="B1" sqref="A1:XFD1048576"/>
    </sheetView>
  </sheetViews>
  <sheetFormatPr defaultColWidth="13.140625" defaultRowHeight="12.75"/>
  <cols>
    <col min="1" max="1" width="7.85546875" style="197" bestFit="1" customWidth="1"/>
    <col min="2" max="2" width="17.42578125" style="198" bestFit="1" customWidth="1"/>
    <col min="3" max="3" width="44.42578125" style="200" bestFit="1" customWidth="1"/>
    <col min="4" max="4" width="13.42578125" style="198" bestFit="1" customWidth="1"/>
    <col min="5" max="5" width="3.7109375" style="198" customWidth="1"/>
    <col min="6" max="6" width="20.28515625" style="198" bestFit="1" customWidth="1"/>
    <col min="7" max="7" width="17.7109375" style="201" bestFit="1" customWidth="1"/>
    <col min="8" max="9" width="17.42578125" style="198" bestFit="1" customWidth="1"/>
    <col min="10" max="10" width="17.42578125" style="198" customWidth="1"/>
    <col min="11" max="11" width="3.7109375" style="198" customWidth="1"/>
    <col min="12" max="12" width="27.140625" style="198" bestFit="1" customWidth="1"/>
    <col min="13" max="13" width="15.140625" style="201" bestFit="1" customWidth="1"/>
    <col min="14" max="14" width="15.140625" style="198" bestFit="1" customWidth="1"/>
    <col min="15" max="16384" width="13.140625" style="198"/>
  </cols>
  <sheetData>
    <row r="1" spans="1:14">
      <c r="B1" s="198" t="s">
        <v>233</v>
      </c>
      <c r="C1" s="199"/>
      <c r="F1" s="200" t="s">
        <v>353</v>
      </c>
      <c r="G1" s="201">
        <v>8.8000000000000007</v>
      </c>
      <c r="H1" s="198" t="s">
        <v>354</v>
      </c>
      <c r="I1" s="198">
        <v>44</v>
      </c>
      <c r="L1" s="202" t="s">
        <v>243</v>
      </c>
    </row>
    <row r="2" spans="1:14" s="204" customFormat="1" ht="25.5">
      <c r="A2" s="203" t="s">
        <v>346</v>
      </c>
      <c r="B2" s="199" t="s">
        <v>224</v>
      </c>
      <c r="C2" s="199" t="s">
        <v>347</v>
      </c>
      <c r="D2" s="199" t="s">
        <v>235</v>
      </c>
      <c r="F2" s="205" t="s">
        <v>349</v>
      </c>
      <c r="G2" s="206" t="s">
        <v>355</v>
      </c>
      <c r="H2" s="207" t="s">
        <v>356</v>
      </c>
      <c r="I2" s="207" t="s">
        <v>357</v>
      </c>
      <c r="J2" s="207" t="s">
        <v>229</v>
      </c>
      <c r="L2" s="205" t="s">
        <v>242</v>
      </c>
      <c r="M2" s="206" t="s">
        <v>300</v>
      </c>
      <c r="N2" s="206" t="s">
        <v>301</v>
      </c>
    </row>
    <row r="3" spans="1:14">
      <c r="A3" s="197">
        <v>1</v>
      </c>
      <c r="B3" s="198" t="str">
        <f>'IN 05-2017'!A2</f>
        <v>Área Interna</v>
      </c>
      <c r="C3" s="208" t="str">
        <f>'IN 05-2017'!B2</f>
        <v>01.01.Pisos Acarpetados</v>
      </c>
      <c r="D3" s="209">
        <f>MAX('IN 05-2017'!C2,'IN 05-2017'!D2)</f>
        <v>1200</v>
      </c>
      <c r="F3" s="200" t="s">
        <v>341</v>
      </c>
      <c r="G3" s="201">
        <v>220</v>
      </c>
      <c r="H3" s="210">
        <f>Tabela3[[#This Row],[Horas de Trabalho no Mês]]/Tabela3[[#This Row],[Horas de Trabalho no Mês]]</f>
        <v>1</v>
      </c>
      <c r="I3" s="211">
        <v>22</v>
      </c>
      <c r="J3" s="212">
        <f>1/Tabela3[[#This Row],[Horas de Trabalho no Mês]]</f>
        <v>4.5454545454545452E-3</v>
      </c>
      <c r="L3" s="200" t="s">
        <v>244</v>
      </c>
      <c r="M3" s="201">
        <v>1</v>
      </c>
      <c r="N3" s="198">
        <v>4</v>
      </c>
    </row>
    <row r="4" spans="1:14">
      <c r="A4" s="197">
        <v>2</v>
      </c>
      <c r="B4" s="198" t="str">
        <f>'IN 05-2017'!A3</f>
        <v>Área Interna</v>
      </c>
      <c r="C4" s="208" t="str">
        <f>'IN 05-2017'!B3</f>
        <v>01.02.Pisos Frios</v>
      </c>
      <c r="D4" s="209">
        <f>MAX('IN 05-2017'!C3,'IN 05-2017'!D3)</f>
        <v>1200</v>
      </c>
      <c r="F4" s="200" t="s">
        <v>342</v>
      </c>
      <c r="G4" s="201">
        <f>ROUND((G3/44),2)*8.8</f>
        <v>44</v>
      </c>
      <c r="H4" s="210">
        <f>Tabela3[[#This Row],[Horas de Trabalho no Mês]]/G3</f>
        <v>0.2</v>
      </c>
      <c r="I4" s="211">
        <v>5</v>
      </c>
      <c r="J4" s="212">
        <f>1/Tabela3[[#This Row],[Horas de Trabalho no Mês]]</f>
        <v>2.2727272727272728E-2</v>
      </c>
      <c r="L4" s="200" t="s">
        <v>234</v>
      </c>
      <c r="M4" s="201">
        <v>5</v>
      </c>
      <c r="N4" s="198">
        <v>10</v>
      </c>
    </row>
    <row r="5" spans="1:14">
      <c r="A5" s="197">
        <v>3</v>
      </c>
      <c r="B5" s="198" t="str">
        <f>'IN 05-2017'!A4</f>
        <v>Área Interna</v>
      </c>
      <c r="C5" s="208" t="str">
        <f>'IN 05-2017'!B4</f>
        <v>01.02.Laboratórios</v>
      </c>
      <c r="D5" s="209">
        <f>MAX('IN 05-2017'!C4,'IN 05-2017'!D4)</f>
        <v>450</v>
      </c>
      <c r="F5" s="200" t="s">
        <v>343</v>
      </c>
      <c r="G5" s="201">
        <f>G4/2</f>
        <v>22</v>
      </c>
      <c r="H5" s="210">
        <f>Tabela3[[#This Row],[Horas de Trabalho no Mês]]/G3</f>
        <v>0.1</v>
      </c>
      <c r="I5" s="211">
        <f>I4/2</f>
        <v>2.5</v>
      </c>
      <c r="J5" s="212">
        <f>1/Tabela3[[#This Row],[Horas de Trabalho no Mês]]</f>
        <v>4.5454545454545456E-2</v>
      </c>
      <c r="L5" s="200" t="s">
        <v>245</v>
      </c>
      <c r="M5" s="201">
        <v>11</v>
      </c>
      <c r="N5" s="198">
        <v>30</v>
      </c>
    </row>
    <row r="6" spans="1:14">
      <c r="A6" s="197">
        <v>4</v>
      </c>
      <c r="B6" s="198" t="str">
        <f>'IN 05-2017'!A5</f>
        <v>Área Interna</v>
      </c>
      <c r="C6" s="208" t="str">
        <f>'IN 05-2017'!B5</f>
        <v>01.03.Almoxarifados e Galpões</v>
      </c>
      <c r="D6" s="209">
        <f>MAX('IN 05-2017'!C5,'IN 05-2017'!D5)</f>
        <v>2500</v>
      </c>
      <c r="F6" s="200" t="s">
        <v>344</v>
      </c>
      <c r="G6" s="201">
        <f>G1</f>
        <v>8.8000000000000007</v>
      </c>
      <c r="H6" s="210">
        <f>Tabela3[[#This Row],[Horas de Trabalho no Mês]]/G3</f>
        <v>0.04</v>
      </c>
      <c r="I6" s="211">
        <v>1</v>
      </c>
      <c r="J6" s="212">
        <f>1/Tabela3[[#This Row],[Horas de Trabalho no Mês]]</f>
        <v>0.11363636363636363</v>
      </c>
      <c r="L6" s="200"/>
    </row>
    <row r="7" spans="1:14">
      <c r="A7" s="197">
        <v>5</v>
      </c>
      <c r="B7" s="198" t="str">
        <f>'IN 05-2017'!A6</f>
        <v>Área Interna</v>
      </c>
      <c r="C7" s="208" t="str">
        <f>'IN 05-2017'!B6</f>
        <v>01.04.Oficinas</v>
      </c>
      <c r="D7" s="209">
        <f>MAX('IN 05-2017'!C6,'IN 05-2017'!D6)</f>
        <v>1800</v>
      </c>
      <c r="F7" s="200" t="s">
        <v>345</v>
      </c>
      <c r="G7" s="201">
        <f>G6/6</f>
        <v>1.4666666666666668</v>
      </c>
      <c r="H7" s="210">
        <f>Tabela3[[#This Row],[Horas de Trabalho no Mês]]/G3</f>
        <v>6.6666666666666671E-3</v>
      </c>
      <c r="I7" s="211">
        <f>I6/6</f>
        <v>0.16666666666666666</v>
      </c>
      <c r="J7" s="212">
        <f>J3*6</f>
        <v>2.7272727272727271E-2</v>
      </c>
      <c r="L7" s="200"/>
    </row>
    <row r="8" spans="1:14">
      <c r="A8" s="197">
        <v>6</v>
      </c>
      <c r="B8" s="198" t="str">
        <f>'IN 05-2017'!A7</f>
        <v>Área Interna</v>
      </c>
      <c r="C8" s="208" t="str">
        <f>'IN 05-2017'!B7</f>
        <v>01.05.Áreas com espaços livres (saguão, hall e salão)</v>
      </c>
      <c r="D8" s="209">
        <f>MAX('IN 05-2017'!C7,'IN 05-2017'!D7)</f>
        <v>1500</v>
      </c>
      <c r="F8" s="200"/>
      <c r="H8" s="213"/>
      <c r="I8" s="212"/>
      <c r="J8" s="212"/>
      <c r="L8" s="200"/>
    </row>
    <row r="9" spans="1:14">
      <c r="A9" s="197">
        <v>7</v>
      </c>
      <c r="B9" s="198" t="str">
        <f>'IN 05-2017'!A8</f>
        <v>Área Interna</v>
      </c>
      <c r="C9" s="208" t="str">
        <f>'IN 05-2017'!B8</f>
        <v>01.06.Banheiros</v>
      </c>
      <c r="D9" s="209">
        <f>MAX('IN 05-2017'!C8,'IN 05-2017'!D8)</f>
        <v>300</v>
      </c>
    </row>
    <row r="10" spans="1:14" ht="38.25">
      <c r="A10" s="197">
        <v>8</v>
      </c>
      <c r="B10" s="198" t="str">
        <f>'IN 05-2017'!A9</f>
        <v>Área Externa</v>
      </c>
      <c r="C10" s="208" t="str">
        <f>'IN 05-2017'!B9</f>
        <v>02.01.Pisos pavimentados adjacentes e contíguos às edificações</v>
      </c>
      <c r="D10" s="209">
        <f>MAX('IN 05-2017'!C9,'IN 05-2017'!D9)</f>
        <v>2700</v>
      </c>
      <c r="F10" s="220" t="s">
        <v>390</v>
      </c>
      <c r="G10" s="220" t="s">
        <v>174</v>
      </c>
    </row>
    <row r="11" spans="1:14">
      <c r="A11" s="197">
        <v>9</v>
      </c>
      <c r="B11" s="198" t="str">
        <f>'IN 05-2017'!A10</f>
        <v>Área Externa</v>
      </c>
      <c r="C11" s="208" t="str">
        <f>'IN 05-2017'!B10</f>
        <v>02.01.Varrição de passeios e arruamentos</v>
      </c>
      <c r="D11" s="209">
        <f>MAX('IN 05-2017'!C10,'IN 05-2017'!D10)</f>
        <v>9000</v>
      </c>
      <c r="F11" s="218" t="s">
        <v>181</v>
      </c>
      <c r="G11" s="219">
        <v>5.5500000000000001E-2</v>
      </c>
    </row>
    <row r="12" spans="1:14">
      <c r="A12" s="197">
        <v>10</v>
      </c>
      <c r="B12" s="198" t="str">
        <f>'IN 05-2017'!A11</f>
        <v>Área Externa</v>
      </c>
      <c r="C12" s="208" t="str">
        <f>'IN 05-2017'!B11</f>
        <v>02.03.Pátios e áreas verdes com alta frequência</v>
      </c>
      <c r="D12" s="209">
        <f>MAX('IN 05-2017'!C11,'IN 05-2017'!D11)</f>
        <v>2700</v>
      </c>
      <c r="F12" s="218" t="s">
        <v>182</v>
      </c>
      <c r="G12" s="219">
        <f>100%-G11</f>
        <v>0.94450000000000001</v>
      </c>
    </row>
    <row r="13" spans="1:14">
      <c r="A13" s="197">
        <v>11</v>
      </c>
      <c r="B13" s="198" t="str">
        <f>'IN 05-2017'!A12</f>
        <v>Área Externa</v>
      </c>
      <c r="C13" s="208" t="str">
        <f>'IN 05-2017'!B12</f>
        <v>02.04.Pátios e áreas verdes com média frequência</v>
      </c>
      <c r="D13" s="209">
        <f>MAX('IN 05-2017'!C12,'IN 05-2017'!D12)</f>
        <v>2700</v>
      </c>
    </row>
    <row r="14" spans="1:14">
      <c r="A14" s="197">
        <v>12</v>
      </c>
      <c r="B14" s="198" t="str">
        <f>'IN 05-2017'!A13</f>
        <v>Área Externa</v>
      </c>
      <c r="C14" s="208" t="str">
        <f>'IN 05-2017'!B13</f>
        <v>02.05.Pátios e áreas verdes com baixa frequência</v>
      </c>
      <c r="D14" s="209">
        <f>MAX('IN 05-2017'!C13,'IN 05-2017'!D13)</f>
        <v>2700</v>
      </c>
    </row>
    <row r="15" spans="1:14" ht="25.5">
      <c r="A15" s="197">
        <v>13</v>
      </c>
      <c r="B15" s="198" t="str">
        <f>'IN 05-2017'!A14</f>
        <v>Área Externa</v>
      </c>
      <c r="C15" s="208" t="str">
        <f>'IN 05-2017'!B14</f>
        <v>02.06.Coleta de detritos em pátios e áreas verdes com frequência diária</v>
      </c>
      <c r="D15" s="209">
        <f>MAX('IN 05-2017'!C14,'IN 05-2017'!D14)</f>
        <v>100000</v>
      </c>
    </row>
    <row r="16" spans="1:14">
      <c r="A16" s="197">
        <v>14</v>
      </c>
      <c r="B16" s="198" t="str">
        <f>'IN 05-2017'!A15</f>
        <v>Esquadrias</v>
      </c>
      <c r="C16" s="208" t="str">
        <f>'IN 05-2017'!B15</f>
        <v>03.01.Face externa com exposição a situação de risco</v>
      </c>
      <c r="D16" s="209">
        <f>MAX('IN 05-2017'!C15,'IN 05-2017'!D15)</f>
        <v>160</v>
      </c>
      <c r="H16" s="214"/>
    </row>
    <row r="17" spans="1:8">
      <c r="A17" s="197">
        <v>15</v>
      </c>
      <c r="B17" s="198" t="str">
        <f>'IN 05-2017'!A16</f>
        <v>Esquadrias</v>
      </c>
      <c r="C17" s="208" t="str">
        <f>'IN 05-2017'!B16</f>
        <v>03.02.Face externa sem exposição a situação de risco</v>
      </c>
      <c r="D17" s="209">
        <f>MAX('IN 05-2017'!C16,'IN 05-2017'!D16)</f>
        <v>380</v>
      </c>
      <c r="H17" s="214"/>
    </row>
    <row r="18" spans="1:8">
      <c r="A18" s="197">
        <v>16</v>
      </c>
      <c r="B18" s="198" t="str">
        <f>'IN 05-2017'!A17</f>
        <v>Esquadrias</v>
      </c>
      <c r="C18" s="208" t="str">
        <f>'IN 05-2017'!B17</f>
        <v>03.03.Face interna</v>
      </c>
      <c r="D18" s="209">
        <f>MAX('IN 05-2017'!C17,'IN 05-2017'!D17)</f>
        <v>380</v>
      </c>
    </row>
    <row r="19" spans="1:8" ht="25.5">
      <c r="A19" s="197">
        <v>17</v>
      </c>
      <c r="B19" s="198" t="str">
        <f>'IN 05-2017'!A18</f>
        <v>Fachadas Envidraçadas</v>
      </c>
      <c r="C19" s="208" t="str">
        <f>'IN 05-2017'!B18</f>
        <v>04.01.Fachadas Envidraçadas</v>
      </c>
      <c r="D19" s="209">
        <f>MAX('IN 05-2017'!C18,'IN 05-2017'!D18)</f>
        <v>160</v>
      </c>
    </row>
    <row r="20" spans="1:8" ht="25.5">
      <c r="A20" s="197">
        <v>18</v>
      </c>
      <c r="B20" s="198" t="str">
        <f>'IN 05-2017'!A19</f>
        <v>Áreas Hospitalares e similares</v>
      </c>
      <c r="C20" s="208" t="str">
        <f>'IN 05-2017'!B19</f>
        <v>05.01.Enfermaria</v>
      </c>
      <c r="D20" s="209">
        <f>MAX('IN 05-2017'!C19,'IN 05-2017'!D19)</f>
        <v>450</v>
      </c>
    </row>
    <row r="21" spans="1:8">
      <c r="A21" s="197">
        <v>19</v>
      </c>
      <c r="B21" s="198" t="str">
        <f>'IN 05-2017'!A20</f>
        <v>Não definido</v>
      </c>
      <c r="C21" s="208" t="str">
        <f>'IN 05-2017'!B20</f>
        <v>99.99.Não definido</v>
      </c>
      <c r="D21" s="209">
        <f>MAX('IN 05-2017'!C20,'IN 05-2017'!D20)</f>
        <v>0</v>
      </c>
    </row>
    <row r="22" spans="1:8">
      <c r="B22" s="198">
        <f>'IN 05-2017'!A21</f>
        <v>0</v>
      </c>
      <c r="C22" s="208">
        <f>'IN 05-2017'!B21</f>
        <v>0</v>
      </c>
      <c r="D22" s="209">
        <f>MAX('IN 05-2017'!C21,'IN 05-2017'!D21)</f>
        <v>0</v>
      </c>
    </row>
  </sheetData>
  <sheetProtection algorithmName="SHA-512" hashValue="lRmBmxeNW07B2heN07csa74JoXq5ir8In9sKgyhiTzbDG/HtzeNqPhFM8G1a1Mo4LbWa2XIsV015qvFl0JXxcw==" saltValue="Q4+WeE+VgHU+gD7PIv9noQ==" spinCount="100000" sheet="1" objects="1" scenarios="1"/>
  <pageMargins left="0.511811024" right="0.511811024" top="0.78740157499999996" bottom="0.78740157499999996" header="0.31496062000000002" footer="0.31496062000000002"/>
  <pageSetup paperSize="9" orientation="portrait" verticalDpi="0" r:id="rId1"/>
  <tableParts count="4">
    <tablePart r:id="rId2"/>
    <tablePart r:id="rId3"/>
    <tablePart r:id="rId4"/>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0"/>
  <sheetViews>
    <sheetView showGridLines="0" topLeftCell="A19" zoomScale="115" zoomScaleNormal="115" workbookViewId="0">
      <selection activeCell="A19" sqref="A1:XFD1048576"/>
    </sheetView>
  </sheetViews>
  <sheetFormatPr defaultColWidth="20.85546875" defaultRowHeight="12.75"/>
  <cols>
    <col min="1" max="1" width="19" style="216" bestFit="1" customWidth="1"/>
    <col min="2" max="2" width="44.42578125" style="216" customWidth="1"/>
    <col min="3" max="3" width="19.140625" style="217" customWidth="1"/>
    <col min="4" max="4" width="16" style="217" customWidth="1"/>
    <col min="5" max="16384" width="20.85546875" style="215"/>
  </cols>
  <sheetData>
    <row r="1" spans="1:4" ht="28.5">
      <c r="A1" s="300" t="s">
        <v>224</v>
      </c>
      <c r="B1" s="300" t="s">
        <v>223</v>
      </c>
      <c r="C1" s="301" t="s">
        <v>685</v>
      </c>
      <c r="D1" s="302" t="s">
        <v>686</v>
      </c>
    </row>
    <row r="2" spans="1:4">
      <c r="A2" s="216" t="s">
        <v>291</v>
      </c>
      <c r="B2" s="216" t="s">
        <v>322</v>
      </c>
      <c r="C2" s="217">
        <v>800</v>
      </c>
      <c r="D2" s="217">
        <v>1200</v>
      </c>
    </row>
    <row r="3" spans="1:4">
      <c r="A3" s="216" t="s">
        <v>291</v>
      </c>
      <c r="B3" s="216" t="s">
        <v>323</v>
      </c>
      <c r="C3" s="217">
        <v>800</v>
      </c>
      <c r="D3" s="217">
        <v>1200</v>
      </c>
    </row>
    <row r="4" spans="1:4">
      <c r="A4" s="216" t="s">
        <v>291</v>
      </c>
      <c r="B4" s="216" t="s">
        <v>324</v>
      </c>
      <c r="C4" s="217">
        <v>360</v>
      </c>
      <c r="D4" s="217">
        <v>450</v>
      </c>
    </row>
    <row r="5" spans="1:4">
      <c r="A5" s="216" t="s">
        <v>291</v>
      </c>
      <c r="B5" s="216" t="s">
        <v>325</v>
      </c>
      <c r="C5" s="217">
        <v>1500</v>
      </c>
      <c r="D5" s="217">
        <v>2500</v>
      </c>
    </row>
    <row r="6" spans="1:4">
      <c r="A6" s="216" t="s">
        <v>291</v>
      </c>
      <c r="B6" s="216" t="s">
        <v>326</v>
      </c>
      <c r="C6" s="217">
        <v>1200</v>
      </c>
      <c r="D6" s="217">
        <v>1800</v>
      </c>
    </row>
    <row r="7" spans="1:4">
      <c r="A7" s="216" t="s">
        <v>291</v>
      </c>
      <c r="B7" s="216" t="s">
        <v>327</v>
      </c>
      <c r="C7" s="217">
        <v>1000</v>
      </c>
      <c r="D7" s="217">
        <v>1500</v>
      </c>
    </row>
    <row r="8" spans="1:4">
      <c r="A8" s="216" t="s">
        <v>291</v>
      </c>
      <c r="B8" s="216" t="s">
        <v>328</v>
      </c>
      <c r="C8" s="217">
        <v>200</v>
      </c>
      <c r="D8" s="217">
        <v>300</v>
      </c>
    </row>
    <row r="9" spans="1:4" ht="25.5">
      <c r="A9" s="216" t="s">
        <v>292</v>
      </c>
      <c r="B9" s="216" t="s">
        <v>329</v>
      </c>
      <c r="C9" s="217">
        <v>1800</v>
      </c>
      <c r="D9" s="217">
        <v>2700</v>
      </c>
    </row>
    <row r="10" spans="1:4">
      <c r="A10" s="216" t="s">
        <v>292</v>
      </c>
      <c r="B10" s="216" t="s">
        <v>330</v>
      </c>
      <c r="C10" s="217">
        <v>6000</v>
      </c>
      <c r="D10" s="217">
        <v>9000</v>
      </c>
    </row>
    <row r="11" spans="1:4">
      <c r="A11" s="216" t="s">
        <v>292</v>
      </c>
      <c r="B11" s="216" t="s">
        <v>331</v>
      </c>
      <c r="C11" s="217">
        <v>1800</v>
      </c>
      <c r="D11" s="217">
        <v>2700</v>
      </c>
    </row>
    <row r="12" spans="1:4">
      <c r="A12" s="216" t="s">
        <v>292</v>
      </c>
      <c r="B12" s="216" t="s">
        <v>332</v>
      </c>
      <c r="C12" s="217">
        <v>1800</v>
      </c>
      <c r="D12" s="217">
        <v>2700</v>
      </c>
    </row>
    <row r="13" spans="1:4">
      <c r="A13" s="216" t="s">
        <v>292</v>
      </c>
      <c r="B13" s="216" t="s">
        <v>333</v>
      </c>
      <c r="C13" s="217">
        <v>1800</v>
      </c>
      <c r="D13" s="217">
        <v>2700</v>
      </c>
    </row>
    <row r="14" spans="1:4" ht="25.5">
      <c r="A14" s="216" t="s">
        <v>292</v>
      </c>
      <c r="B14" s="216" t="s">
        <v>334</v>
      </c>
      <c r="C14" s="217">
        <v>100000</v>
      </c>
      <c r="D14" s="217">
        <v>100000</v>
      </c>
    </row>
    <row r="15" spans="1:4">
      <c r="A15" s="216" t="s">
        <v>225</v>
      </c>
      <c r="B15" s="216" t="s">
        <v>335</v>
      </c>
      <c r="C15" s="217">
        <v>130</v>
      </c>
      <c r="D15" s="217">
        <v>160</v>
      </c>
    </row>
    <row r="16" spans="1:4">
      <c r="A16" s="216" t="s">
        <v>225</v>
      </c>
      <c r="B16" s="216" t="s">
        <v>336</v>
      </c>
      <c r="C16" s="217">
        <v>300</v>
      </c>
      <c r="D16" s="217">
        <v>380</v>
      </c>
    </row>
    <row r="17" spans="1:4">
      <c r="A17" s="216" t="s">
        <v>225</v>
      </c>
      <c r="B17" s="216" t="s">
        <v>337</v>
      </c>
      <c r="C17" s="217">
        <v>300</v>
      </c>
      <c r="D17" s="217">
        <v>380</v>
      </c>
    </row>
    <row r="18" spans="1:4" ht="25.5">
      <c r="A18" s="216" t="s">
        <v>230</v>
      </c>
      <c r="B18" s="216" t="s">
        <v>338</v>
      </c>
      <c r="C18" s="217">
        <v>130</v>
      </c>
      <c r="D18" s="217">
        <v>160</v>
      </c>
    </row>
    <row r="19" spans="1:4" ht="25.5">
      <c r="A19" s="216" t="s">
        <v>231</v>
      </c>
      <c r="B19" s="216" t="s">
        <v>339</v>
      </c>
      <c r="C19" s="217">
        <v>360</v>
      </c>
      <c r="D19" s="217">
        <v>450</v>
      </c>
    </row>
    <row r="20" spans="1:4">
      <c r="A20" s="216" t="s">
        <v>232</v>
      </c>
      <c r="B20" s="216" t="s">
        <v>340</v>
      </c>
      <c r="C20" s="217">
        <v>0</v>
      </c>
      <c r="D20" s="217">
        <v>0</v>
      </c>
    </row>
    <row r="24" spans="1:4">
      <c r="B24" s="220" t="s">
        <v>396</v>
      </c>
      <c r="C24" s="218" t="s">
        <v>394</v>
      </c>
      <c r="D24" s="218" t="s">
        <v>395</v>
      </c>
    </row>
    <row r="25" spans="1:4">
      <c r="B25" s="220" t="s">
        <v>12</v>
      </c>
      <c r="C25" s="219">
        <v>0.06</v>
      </c>
      <c r="D25" s="219">
        <v>3.5000000000000003E-2</v>
      </c>
    </row>
    <row r="26" spans="1:4">
      <c r="B26" s="220" t="s">
        <v>14</v>
      </c>
      <c r="C26" s="219">
        <f>SUM(C27:C29)</f>
        <v>8.6499999999999994E-2</v>
      </c>
      <c r="D26" s="219">
        <f>SUM(D27:D29)</f>
        <v>8.2000000000000003E-2</v>
      </c>
    </row>
    <row r="27" spans="1:4">
      <c r="B27" s="220" t="s">
        <v>392</v>
      </c>
      <c r="C27" s="219">
        <v>6.4999999999999997E-3</v>
      </c>
      <c r="D27" s="219">
        <v>5.7000000000000002E-3</v>
      </c>
    </row>
    <row r="28" spans="1:4">
      <c r="B28" s="220" t="s">
        <v>16</v>
      </c>
      <c r="C28" s="219">
        <v>0.03</v>
      </c>
      <c r="D28" s="219">
        <v>2.63E-2</v>
      </c>
    </row>
    <row r="29" spans="1:4">
      <c r="B29" s="220" t="s">
        <v>17</v>
      </c>
      <c r="C29" s="219">
        <v>0.05</v>
      </c>
      <c r="D29" s="219">
        <v>0.05</v>
      </c>
    </row>
    <row r="30" spans="1:4">
      <c r="B30" s="220" t="s">
        <v>13</v>
      </c>
      <c r="C30" s="219">
        <v>6.7900000000000002E-2</v>
      </c>
      <c r="D30" s="219">
        <v>3.9E-2</v>
      </c>
    </row>
  </sheetData>
  <sheetProtection algorithmName="SHA-512" hashValue="6eGrsIVIgRAhyXA6qu57xK1o/pyXWlAEGFQPZbcehysOLloteUTALMEstauoXsL3V6oogvLOEbhEdm1WDIbn5w==" saltValue="vmFCJCextgPG4XToSud4MA==" spinCount="100000" sheet="1" objects="1" scenarios="1"/>
  <pageMargins left="0.7" right="0.7" top="0.75" bottom="0.75" header="0.3" footer="0.3"/>
  <pageSetup paperSize="9" orientation="portrait" verticalDpi="0"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K35"/>
  <sheetViews>
    <sheetView showGridLines="0" topLeftCell="A7" workbookViewId="0">
      <selection activeCell="A7" sqref="A1:XFD1048576"/>
    </sheetView>
  </sheetViews>
  <sheetFormatPr defaultColWidth="9.140625" defaultRowHeight="15"/>
  <cols>
    <col min="1" max="1" width="11" style="367" customWidth="1"/>
    <col min="2" max="2" width="37.85546875" style="367" customWidth="1"/>
    <col min="3" max="3" width="13.140625" style="367" customWidth="1"/>
    <col min="4" max="4" width="18.85546875" style="367" customWidth="1"/>
    <col min="5" max="5" width="14.5703125" style="371" customWidth="1"/>
    <col min="6" max="6" width="21.140625" style="372" customWidth="1"/>
    <col min="7" max="7" width="19.42578125" style="372" customWidth="1"/>
    <col min="8" max="8" width="17.5703125" style="372" customWidth="1"/>
    <col min="9" max="10" width="16.42578125" style="372" customWidth="1"/>
    <col min="11" max="11" width="21.140625" style="372" bestFit="1" customWidth="1"/>
    <col min="12" max="12" width="13.7109375" style="367" bestFit="1" customWidth="1"/>
    <col min="13" max="13" width="18.5703125" style="374" customWidth="1"/>
    <col min="14" max="219" width="9.140625" style="366"/>
    <col min="220" max="16384" width="9.140625" style="367"/>
  </cols>
  <sheetData>
    <row r="1" spans="1:219" s="360" customFormat="1" ht="42.75">
      <c r="A1" s="403" t="s">
        <v>21</v>
      </c>
      <c r="B1" s="403" t="s">
        <v>228</v>
      </c>
      <c r="C1" s="403" t="s">
        <v>350</v>
      </c>
      <c r="D1" s="403" t="s">
        <v>352</v>
      </c>
      <c r="E1" s="403" t="s">
        <v>242</v>
      </c>
      <c r="F1" s="404" t="s">
        <v>695</v>
      </c>
      <c r="G1" s="404" t="s">
        <v>696</v>
      </c>
      <c r="H1" s="404" t="s">
        <v>697</v>
      </c>
      <c r="I1" s="404" t="s">
        <v>698</v>
      </c>
      <c r="J1" s="404" t="s">
        <v>699</v>
      </c>
      <c r="K1" s="404" t="s">
        <v>700</v>
      </c>
      <c r="L1" s="403" t="s">
        <v>120</v>
      </c>
      <c r="M1" s="404" t="s">
        <v>299</v>
      </c>
    </row>
    <row r="2" spans="1:219">
      <c r="A2" s="361">
        <v>1</v>
      </c>
      <c r="B2" s="362" t="s">
        <v>323</v>
      </c>
      <c r="C2" s="363">
        <f>IF(Tabela756[[#This Row],[Tipo da Área]]="","",VLOOKUP(Tabela756[[#This Row],[Tipo da Área]],'TABELA DE ATUALIZAÇÃO PROPOSTA'!$A$3:$K$59,2,FALSE))</f>
        <v>3199.4219999999996</v>
      </c>
      <c r="D2" s="363">
        <f>VLOOKUP(Tabela756[[#This Row],[Tipo da Área]],'TABELA DE ATUALIZAÇÃO PROPOSTA'!$A$4:$K$60,3,FALSE)</f>
        <v>1200</v>
      </c>
      <c r="E2" s="363">
        <f>IF(Tabela756[[#This Row],[Tipo da Área]]="","",VLOOKUP(Tabela756[[#This Row],[Tipo da Área]],'TABELA DE ATUALIZAÇÃO PROPOSTA'!$A$3:$K$59,4,FALSE))</f>
        <v>2.6661849999999996</v>
      </c>
      <c r="F2" s="359">
        <f>IF(Tabela756[[#This Row],[Tipo da Área]]="","",VLOOKUP(Tabela756[[#This Row],[Tipo da Área]],'TABELA DE ATUALIZAÇÃO PROPOSTA'!$A$3:$K$59,5,FALSE))</f>
        <v>2.2584762149381481</v>
      </c>
      <c r="G2" s="359">
        <f>IF(Tabela756[[#This Row],[Tipo da Área]]="","",VLOOKUP(Tabela756[[#This Row],[Tipo da Área]],'TABELA DE ATUALIZAÇÃO PROPOSTA'!$A$3:$K$59,6,FALSE))</f>
        <v>0.52328361644388</v>
      </c>
      <c r="H2" s="359">
        <f>IF(Tabela756[[#This Row],[Tipo da Área]]="","",VLOOKUP(Tabela756[[#This Row],[Tipo da Área]],'TABELA DE ATUALIZAÇÃO PROPOSTA'!$A$3:$K$59,7,FALSE))</f>
        <v>2.7817598313820286</v>
      </c>
      <c r="I2" s="359">
        <f>IF(Tabela756[[#This Row],[Tipo da Área]]="","",VLOOKUP(Tabela756[[#This Row],[Tipo da Área]],'TABELA DE ATUALIZAÇÃO PROPOSTA'!$A$3:$K$59,8,FALSE))</f>
        <v>7225.8184885498404</v>
      </c>
      <c r="J2" s="359">
        <f>IF(Tabela756[[#This Row],[Tipo da Área]]="","",VLOOKUP(Tabela756[[#This Row],[Tipo da Área]],'TABELA DE ATUALIZAÇÃO PROPOSTA'!$A$3:$K$59,9,FALSE))</f>
        <v>1674.2051146901103</v>
      </c>
      <c r="K2" s="359">
        <f>IF(Tabela756[[#This Row],[Tipo da Área]]="","",VLOOKUP(Tabela756[[#This Row],[Tipo da Área]],'TABELA DE ATUALIZAÇÃO PROPOSTA'!$A$3:$K$59,10,FALSE))</f>
        <v>8900.023603239948</v>
      </c>
      <c r="L2" s="364">
        <v>12</v>
      </c>
      <c r="M2" s="365">
        <f>Tabela756[[#This Row],[Meses do Contrato]]*Tabela756[[#This Row],[Remuneração Mensal Total]]</f>
        <v>106800.28323887938</v>
      </c>
    </row>
    <row r="3" spans="1:219">
      <c r="A3" s="361">
        <v>2</v>
      </c>
      <c r="B3" s="362" t="s">
        <v>324</v>
      </c>
      <c r="C3" s="363">
        <f>IF(Tabela756[[#This Row],[Tipo da Área]]="","",VLOOKUP(Tabela756[[#This Row],[Tipo da Área]],'TABELA DE ATUALIZAÇÃO PROPOSTA'!$A$3:$K$59,2,FALSE))</f>
        <v>328.38</v>
      </c>
      <c r="D3" s="363">
        <f>VLOOKUP(Tabela756[[#This Row],[Tipo da Área]],'TABELA DE ATUALIZAÇÃO PROPOSTA'!$A$4:$K$60,3,FALSE)</f>
        <v>392</v>
      </c>
      <c r="E3" s="363">
        <f>IF(Tabela756[[#This Row],[Tipo da Área]]="","",VLOOKUP(Tabela756[[#This Row],[Tipo da Área]],'TABELA DE ATUALIZAÇÃO PROPOSTA'!$A$3:$K$59,4,FALSE))</f>
        <v>0.83671328671328671</v>
      </c>
      <c r="F3" s="359">
        <f>IF(Tabela756[[#This Row],[Tipo da Área]]="","",VLOOKUP(Tabela756[[#This Row],[Tipo da Área]],'TABELA DE ATUALIZAÇÃO PROPOSTA'!$A$3:$K$59,5,FALSE))</f>
        <v>6.9140608289481769</v>
      </c>
      <c r="G3" s="359">
        <f>IF(Tabela756[[#This Row],[Tipo da Área]]="","",VLOOKUP(Tabela756[[#This Row],[Tipo da Área]],'TABELA DE ATUALIZAÇÃO PROPOSTA'!$A$3:$K$59,6,FALSE))</f>
        <v>1.6019715996805637</v>
      </c>
      <c r="H3" s="359">
        <f>IF(Tabela756[[#This Row],[Tipo da Área]]="","",VLOOKUP(Tabela756[[#This Row],[Tipo da Área]],'TABELA DE ATUALIZAÇÃO PROPOSTA'!$A$3:$K$59,7,FALSE))</f>
        <v>8.5160324286287423</v>
      </c>
      <c r="I3" s="359">
        <f>IF(Tabela756[[#This Row],[Tipo da Área]]="","",VLOOKUP(Tabela756[[#This Row],[Tipo da Área]],'TABELA DE ATUALIZAÇÃO PROPOSTA'!$A$3:$K$59,8,FALSE))</f>
        <v>2267.6364681176178</v>
      </c>
      <c r="J3" s="359">
        <f>IF(Tabela756[[#This Row],[Tipo da Área]]="","",VLOOKUP(Tabela756[[#This Row],[Tipo da Área]],'TABELA DE ATUALIZAÇÃO PROPOSTA'!$A$3:$K$59,9,FALSE))</f>
        <v>525.40602551756808</v>
      </c>
      <c r="K3" s="359">
        <f>IF(Tabela756[[#This Row],[Tipo da Área]]="","",VLOOKUP(Tabela756[[#This Row],[Tipo da Área]],'TABELA DE ATUALIZAÇÃO PROPOSTA'!$A$3:$K$59,10,FALSE))</f>
        <v>2793.0424936351856</v>
      </c>
      <c r="L3" s="364">
        <v>12</v>
      </c>
      <c r="M3" s="365">
        <f>Tabela756[[#This Row],[Meses do Contrato]]*Tabela756[[#This Row],[Remuneração Mensal Total]]</f>
        <v>33516.50992362223</v>
      </c>
    </row>
    <row r="4" spans="1:219">
      <c r="A4" s="361">
        <v>3</v>
      </c>
      <c r="B4" s="362" t="s">
        <v>328</v>
      </c>
      <c r="C4" s="363">
        <f>IF(Tabela756[[#This Row],[Tipo da Área]]="","",VLOOKUP(Tabela756[[#This Row],[Tipo da Área]],'TABELA DE ATUALIZAÇÃO PROPOSTA'!$A$3:$K$59,2,FALSE))</f>
        <v>155.97839999999999</v>
      </c>
      <c r="D4" s="363">
        <f>VLOOKUP(Tabela756[[#This Row],[Tipo da Área]],'TABELA DE ATUALIZAÇÃO PROPOSTA'!$A$4:$K$60,3,FALSE)</f>
        <v>300</v>
      </c>
      <c r="E4" s="363">
        <f>IF(Tabela756[[#This Row],[Tipo da Área]]="","",VLOOKUP(Tabela756[[#This Row],[Tipo da Área]],'TABELA DE ATUALIZAÇÃO PROPOSTA'!$A$3:$K$59,4,FALSE))</f>
        <v>0.51992799999999995</v>
      </c>
      <c r="F4" s="359">
        <f>IF(Tabela756[[#This Row],[Tipo da Área]]="","",VLOOKUP(Tabela756[[#This Row],[Tipo da Área]],'TABELA DE ATUALIZAÇÃO PROPOSTA'!$A$3:$K$59,5,FALSE))</f>
        <v>9.0339048597525942</v>
      </c>
      <c r="G4" s="359">
        <f>IF(Tabela756[[#This Row],[Tipo da Área]]="","",VLOOKUP(Tabela756[[#This Row],[Tipo da Área]],'TABELA DE ATUALIZAÇÃO PROPOSTA'!$A$3:$K$59,6,FALSE))</f>
        <v>2.0931344657755186</v>
      </c>
      <c r="H4" s="359">
        <f>IF(Tabela756[[#This Row],[Tipo da Área]]="","",VLOOKUP(Tabela756[[#This Row],[Tipo da Área]],'TABELA DE ATUALIZAÇÃO PROPOSTA'!$A$3:$K$59,7,FALSE))</f>
        <v>11.127039325528113</v>
      </c>
      <c r="I4" s="359">
        <f>IF(Tabela756[[#This Row],[Tipo da Área]]="","",VLOOKUP(Tabela756[[#This Row],[Tipo da Área]],'TABELA DE ATUALIZAÇÃO PROPOSTA'!$A$3:$K$59,8,FALSE))</f>
        <v>1409.0940257764339</v>
      </c>
      <c r="J4" s="359">
        <f>IF(Tabela756[[#This Row],[Tipo da Área]]="","",VLOOKUP(Tabela756[[#This Row],[Tipo da Área]],'TABELA DE ATUALIZAÇÃO PROPOSTA'!$A$3:$K$59,9,FALSE))</f>
        <v>326.48376495652019</v>
      </c>
      <c r="K4" s="359">
        <f>IF(Tabela756[[#This Row],[Tipo da Área]]="","",VLOOKUP(Tabela756[[#This Row],[Tipo da Área]],'TABELA DE ATUALIZAÇÃO PROPOSTA'!$A$3:$K$59,10,FALSE))</f>
        <v>1735.5777907329541</v>
      </c>
      <c r="L4" s="364">
        <v>12</v>
      </c>
      <c r="M4" s="365">
        <f>Tabela756[[#This Row],[Meses do Contrato]]*Tabela756[[#This Row],[Remuneração Mensal Total]]</f>
        <v>20826.93348879545</v>
      </c>
    </row>
    <row r="5" spans="1:219" ht="28.5">
      <c r="A5" s="361">
        <v>4</v>
      </c>
      <c r="B5" s="362" t="s">
        <v>329</v>
      </c>
      <c r="C5" s="363">
        <f>IF(Tabela756[[#This Row],[Tipo da Área]]="","",VLOOKUP(Tabela756[[#This Row],[Tipo da Área]],'TABELA DE ATUALIZAÇÃO PROPOSTA'!$A$3:$K$59,2,FALSE))</f>
        <v>424.5</v>
      </c>
      <c r="D5" s="363">
        <f>VLOOKUP(Tabela756[[#This Row],[Tipo da Área]],'TABELA DE ATUALIZAÇÃO PROPOSTA'!$A$4:$K$60,3,FALSE)</f>
        <v>2700</v>
      </c>
      <c r="E5" s="363">
        <f>IF(Tabela756[[#This Row],[Tipo da Área]]="","",VLOOKUP(Tabela756[[#This Row],[Tipo da Área]],'TABELA DE ATUALIZAÇÃO PROPOSTA'!$A$3:$K$59,4,FALSE))</f>
        <v>0.15722222222222224</v>
      </c>
      <c r="F5" s="359">
        <f>IF(Tabela756[[#This Row],[Tipo da Área]]="","",VLOOKUP(Tabela756[[#This Row],[Tipo da Área]],'TABELA DE ATUALIZAÇÃO PROPOSTA'!$A$3:$K$59,5,FALSE))</f>
        <v>1.003767206639177</v>
      </c>
      <c r="G5" s="359">
        <f>IF(Tabela756[[#This Row],[Tipo da Área]]="","",VLOOKUP(Tabela756[[#This Row],[Tipo da Área]],'TABELA DE ATUALIZAÇÃO PROPOSTA'!$A$3:$K$59,6,FALSE))</f>
        <v>0.23257049619727979</v>
      </c>
      <c r="H5" s="359">
        <f>IF(Tabela756[[#This Row],[Tipo da Área]]="","",VLOOKUP(Tabela756[[#This Row],[Tipo da Área]],'TABELA DE ATUALIZAÇÃO PROPOSTA'!$A$3:$K$59,7,FALSE))</f>
        <v>1.2363377028364568</v>
      </c>
      <c r="I5" s="359">
        <f>IF(Tabela756[[#This Row],[Tipo da Área]]="","",VLOOKUP(Tabela756[[#This Row],[Tipo da Área]],'TABELA DE ATUALIZAÇÃO PROPOSTA'!$A$3:$K$59,8,FALSE))</f>
        <v>426.09917921833068</v>
      </c>
      <c r="J5" s="359">
        <f>IF(Tabela756[[#This Row],[Tipo da Área]]="","",VLOOKUP(Tabela756[[#This Row],[Tipo da Área]],'TABELA DE ATUALIZAÇÃO PROPOSTA'!$A$3:$K$59,9,FALSE))</f>
        <v>98.726175635745278</v>
      </c>
      <c r="K5" s="359">
        <f>IF(Tabela756[[#This Row],[Tipo da Área]]="","",VLOOKUP(Tabela756[[#This Row],[Tipo da Área]],'TABELA DE ATUALIZAÇÃO PROPOSTA'!$A$3:$K$59,10,FALSE))</f>
        <v>524.82535485407595</v>
      </c>
      <c r="L5" s="364">
        <v>12</v>
      </c>
      <c r="M5" s="365">
        <f>Tabela756[[#This Row],[Meses do Contrato]]*Tabela756[[#This Row],[Remuneração Mensal Total]]</f>
        <v>6297.904258248911</v>
      </c>
    </row>
    <row r="6" spans="1:219" ht="28.5">
      <c r="A6" s="361">
        <v>5</v>
      </c>
      <c r="B6" s="362" t="s">
        <v>335</v>
      </c>
      <c r="C6" s="363">
        <f>IF(Tabela756[[#This Row],[Tipo da Área]]="","",VLOOKUP(Tabela756[[#This Row],[Tipo da Área]],'TABELA DE ATUALIZAÇÃO PROPOSTA'!$A$3:$K$59,2,FALSE))</f>
        <v>99.64</v>
      </c>
      <c r="D6" s="363">
        <f>VLOOKUP(Tabela756[[#This Row],[Tipo da Área]],'TABELA DE ATUALIZAÇÃO PROPOSTA'!$A$4:$K$60,3,FALSE)</f>
        <v>160</v>
      </c>
      <c r="E6" s="363">
        <f>IF(Tabela756[[#This Row],[Tipo da Área]]="","",VLOOKUP(Tabela756[[#This Row],[Tipo da Área]],'TABELA DE ATUALIZAÇÃO PROPOSTA'!$A$3:$K$59,4,FALSE))</f>
        <v>0.62275000000000003</v>
      </c>
      <c r="F6" s="359">
        <f>IF(Tabela756[[#This Row],[Tipo da Área]]="","",VLOOKUP(Tabela756[[#This Row],[Tipo da Área]],'TABELA DE ATUALIZAÇÃO PROPOSTA'!$A$3:$K$59,5,FALSE))</f>
        <v>16.93857161203611</v>
      </c>
      <c r="G6" s="359">
        <f>IF(Tabela756[[#This Row],[Tipo da Área]]="","",VLOOKUP(Tabela756[[#This Row],[Tipo da Área]],'TABELA DE ATUALIZAÇÃO PROPOSTA'!$A$3:$K$59,6,FALSE))</f>
        <v>3.9246271233290972</v>
      </c>
      <c r="H6" s="359">
        <f>IF(Tabela756[[#This Row],[Tipo da Área]]="","",VLOOKUP(Tabela756[[#This Row],[Tipo da Área]],'TABELA DE ATUALIZAÇÃO PROPOSTA'!$A$3:$K$59,7,FALSE))</f>
        <v>20.863198735365209</v>
      </c>
      <c r="I6" s="359">
        <f>IF(Tabela756[[#This Row],[Tipo da Área]]="","",VLOOKUP(Tabela756[[#This Row],[Tipo da Área]],'TABELA DE ATUALIZAÇÃO PROPOSTA'!$A$3:$K$59,8,FALSE))</f>
        <v>1687.759275423278</v>
      </c>
      <c r="J6" s="359">
        <f>IF(Tabela756[[#This Row],[Tipo da Área]]="","",VLOOKUP(Tabela756[[#This Row],[Tipo da Área]],'TABELA DE ATUALIZAÇÃO PROPOSTA'!$A$3:$K$59,9,FALSE))</f>
        <v>391.04984656851127</v>
      </c>
      <c r="K6" s="359">
        <f>IF(Tabela756[[#This Row],[Tipo da Área]]="","",VLOOKUP(Tabela756[[#This Row],[Tipo da Área]],'TABELA DE ATUALIZAÇÃO PROPOSTA'!$A$3:$K$59,10,FALSE))</f>
        <v>2078.8091219917897</v>
      </c>
      <c r="L6" s="364">
        <v>12</v>
      </c>
      <c r="M6" s="365">
        <f>Tabela756[[#This Row],[Meses do Contrato]]*Tabela756[[#This Row],[Remuneração Mensal Total]]</f>
        <v>24945.709463901476</v>
      </c>
    </row>
    <row r="7" spans="1:219">
      <c r="A7" s="361">
        <v>6</v>
      </c>
      <c r="B7" s="362" t="s">
        <v>337</v>
      </c>
      <c r="C7" s="363">
        <f>IF(Tabela756[[#This Row],[Tipo da Área]]="","",VLOOKUP(Tabela756[[#This Row],[Tipo da Área]],'TABELA DE ATUALIZAÇÃO PROPOSTA'!$A$3:$K$59,2,FALSE))</f>
        <v>21.8</v>
      </c>
      <c r="D7" s="363">
        <f>VLOOKUP(Tabela756[[#This Row],[Tipo da Área]],'TABELA DE ATUALIZAÇÃO PROPOSTA'!$A$4:$K$60,3,FALSE)</f>
        <v>380</v>
      </c>
      <c r="E7" s="363">
        <f>IF(Tabela756[[#This Row],[Tipo da Área]]="","",VLOOKUP(Tabela756[[#This Row],[Tipo da Área]],'TABELA DE ATUALIZAÇÃO PROPOSTA'!$A$3:$K$59,4,FALSE))</f>
        <v>5.7368421052631582E-2</v>
      </c>
      <c r="F7" s="359">
        <f>IF(Tabela756[[#This Row],[Tipo da Área]]="","",VLOOKUP(Tabela756[[#This Row],[Tipo da Área]],'TABELA DE ATUALIZAÇÃO PROPOSTA'!$A$3:$K$59,5,FALSE))</f>
        <v>7.1320301524362568</v>
      </c>
      <c r="G7" s="359">
        <f>IF(Tabela756[[#This Row],[Tipo da Área]]="","",VLOOKUP(Tabela756[[#This Row],[Tipo da Área]],'TABELA DE ATUALIZAÇÃO PROPOSTA'!$A$3:$K$59,6,FALSE))</f>
        <v>1.6524745782438302</v>
      </c>
      <c r="H7" s="359">
        <f>IF(Tabela756[[#This Row],[Tipo da Área]]="","",VLOOKUP(Tabela756[[#This Row],[Tipo da Área]],'TABELA DE ATUALIZAÇÃO PROPOSTA'!$A$3:$K$59,7,FALSE))</f>
        <v>8.7845047306800872</v>
      </c>
      <c r="I7" s="359">
        <f>IF(Tabela756[[#This Row],[Tipo da Área]]="","",VLOOKUP(Tabela756[[#This Row],[Tipo da Área]],'TABELA DE ATUALIZAÇÃO PROPOSTA'!$A$3:$K$59,8,FALSE))</f>
        <v>155.4782573231104</v>
      </c>
      <c r="J7" s="359">
        <f>IF(Tabela756[[#This Row],[Tipo da Área]]="","",VLOOKUP(Tabela756[[#This Row],[Tipo da Área]],'TABELA DE ATUALIZAÇÃO PROPOSTA'!$A$3:$K$59,9,FALSE))</f>
        <v>36.023945805715499</v>
      </c>
      <c r="K7" s="359">
        <f>IF(Tabela756[[#This Row],[Tipo da Área]]="","",VLOOKUP(Tabela756[[#This Row],[Tipo da Área]],'TABELA DE ATUALIZAÇÃO PROPOSTA'!$A$3:$K$59,10,FALSE))</f>
        <v>191.5022031288259</v>
      </c>
      <c r="L7" s="364">
        <v>12</v>
      </c>
      <c r="M7" s="365">
        <f>Tabela756[[#This Row],[Meses do Contrato]]*Tabela756[[#This Row],[Remuneração Mensal Total]]</f>
        <v>2298.026437545911</v>
      </c>
    </row>
    <row r="8" spans="1:219">
      <c r="A8" s="361">
        <v>7</v>
      </c>
      <c r="B8" s="362" t="s">
        <v>338</v>
      </c>
      <c r="C8" s="363">
        <f>IF(Tabela756[[#This Row],[Tipo da Área]]="","",VLOOKUP(Tabela756[[#This Row],[Tipo da Área]],'TABELA DE ATUALIZAÇÃO PROPOSTA'!$A$3:$K$59,2,FALSE))</f>
        <v>22.42</v>
      </c>
      <c r="D8" s="363">
        <f>VLOOKUP(Tabela756[[#This Row],[Tipo da Área]],'TABELA DE ATUALIZAÇÃO PROPOSTA'!$A$4:$K$60,3,FALSE)</f>
        <v>160</v>
      </c>
      <c r="E8" s="363">
        <f>IF(Tabela756[[#This Row],[Tipo da Área]]="","",VLOOKUP(Tabela756[[#This Row],[Tipo da Área]],'TABELA DE ATUALIZAÇÃO PROPOSTA'!$A$3:$K$59,4,FALSE))</f>
        <v>0.140125</v>
      </c>
      <c r="F8" s="359">
        <f>IF(Tabela756[[#This Row],[Tipo da Área]]="","",VLOOKUP(Tabela756[[#This Row],[Tipo da Área]],'TABELA DE ATUALIZAÇÃO PROPOSTA'!$A$3:$K$59,5,FALSE))</f>
        <v>16.93857161203611</v>
      </c>
      <c r="G8" s="359">
        <f>IF(Tabela756[[#This Row],[Tipo da Área]]="","",VLOOKUP(Tabela756[[#This Row],[Tipo da Área]],'TABELA DE ATUALIZAÇÃO PROPOSTA'!$A$3:$K$59,6,FALSE))</f>
        <v>3.9246271233290972</v>
      </c>
      <c r="H8" s="359">
        <f>IF(Tabela756[[#This Row],[Tipo da Área]]="","",VLOOKUP(Tabela756[[#This Row],[Tipo da Área]],'TABELA DE ATUALIZAÇÃO PROPOSTA'!$A$3:$K$59,7,FALSE))</f>
        <v>20.863198735365209</v>
      </c>
      <c r="I8" s="359">
        <f>IF(Tabela756[[#This Row],[Tipo da Área]]="","",VLOOKUP(Tabela756[[#This Row],[Tipo da Área]],'TABELA DE ATUALIZAÇÃO PROPOSTA'!$A$3:$K$59,8,FALSE))</f>
        <v>379.76277554184963</v>
      </c>
      <c r="J8" s="359">
        <f>IF(Tabela756[[#This Row],[Tipo da Área]]="","",VLOOKUP(Tabela756[[#This Row],[Tipo da Área]],'TABELA DE ATUALIZAÇÃO PROPOSTA'!$A$3:$K$59,9,FALSE))</f>
        <v>87.990140105038364</v>
      </c>
      <c r="K8" s="359">
        <f>IF(Tabela756[[#This Row],[Tipo da Área]]="","",VLOOKUP(Tabela756[[#This Row],[Tipo da Área]],'TABELA DE ATUALIZAÇÃO PROPOSTA'!$A$3:$K$59,10,FALSE))</f>
        <v>467.75291564688803</v>
      </c>
      <c r="L8" s="364">
        <v>12</v>
      </c>
      <c r="M8" s="365">
        <f>Tabela756[[#This Row],[Meses do Contrato]]*Tabela756[[#This Row],[Remuneração Mensal Total]]</f>
        <v>5613.0349877626559</v>
      </c>
    </row>
    <row r="9" spans="1:219" s="366" customFormat="1">
      <c r="A9" s="398"/>
      <c r="B9" s="399" t="s">
        <v>8</v>
      </c>
      <c r="C9" s="400">
        <f>SUBTOTAL(109,Tabela756[Área Efetiva Mensal])</f>
        <v>4252.1404000000002</v>
      </c>
      <c r="D9" s="399" t="s">
        <v>246</v>
      </c>
      <c r="E9" s="400">
        <f>SUBTOTAL(109,Tabela756[Mão de Obra])</f>
        <v>5.0002919299881396</v>
      </c>
      <c r="F9" s="401">
        <f>SUBTOTAL(101,Tabela756[Média de custos do M2 limpo pelo Agente])</f>
        <v>8.6027689266837957</v>
      </c>
      <c r="G9" s="401">
        <f>SUBTOTAL(101,Tabela756[Média de custos do M2 limpo pelo Líder])</f>
        <v>1.9932412861427522</v>
      </c>
      <c r="H9" s="401">
        <f>SUBTOTAL(101,Tabela756[Média de Custos do M2 limpo total])</f>
        <v>10.596010212826551</v>
      </c>
      <c r="I9" s="401">
        <f>SUBTOTAL(109,Tabela756[Remuneração Mensal Agente])</f>
        <v>13551.648469950458</v>
      </c>
      <c r="J9" s="401">
        <f>SUBTOTAL(109,Tabela756[Remuneração Mensal Líder])</f>
        <v>3139.885013279209</v>
      </c>
      <c r="K9" s="402">
        <f>SUBTOTAL(109,Tabela756[Remuneração Mensal Total])</f>
        <v>16691.533483229665</v>
      </c>
      <c r="L9" s="399">
        <f>SUBTOTAL(101,Tabela756[Meses do Contrato])</f>
        <v>12</v>
      </c>
      <c r="M9" s="402">
        <f>SUBTOTAL(109,Tabela756[Remuneração Anual])</f>
        <v>200298.40179875601</v>
      </c>
    </row>
    <row r="10" spans="1:219" s="366" customFormat="1">
      <c r="A10" s="391"/>
      <c r="B10" s="391"/>
      <c r="C10" s="391"/>
      <c r="D10" s="391" t="s">
        <v>364</v>
      </c>
      <c r="E10" s="391"/>
      <c r="F10" s="392"/>
      <c r="G10" s="392"/>
      <c r="H10" s="392"/>
      <c r="I10" s="392"/>
      <c r="J10" s="392"/>
      <c r="K10" s="392">
        <f>Tabela14[[#Totals],[CUSTO MÉDIO MENSAL (R$)]]</f>
        <v>3308.4662499999999</v>
      </c>
      <c r="L10" s="393">
        <v>12</v>
      </c>
      <c r="M10" s="392">
        <f>L10*K10</f>
        <v>39701.595000000001</v>
      </c>
    </row>
    <row r="11" spans="1:219">
      <c r="A11" s="394"/>
      <c r="B11" s="394"/>
      <c r="C11" s="394"/>
      <c r="D11" s="395" t="s">
        <v>227</v>
      </c>
      <c r="E11" s="396"/>
      <c r="F11" s="397"/>
      <c r="G11" s="397"/>
      <c r="H11" s="397"/>
      <c r="I11" s="397"/>
      <c r="J11" s="397"/>
      <c r="K11" s="397"/>
      <c r="L11" s="394"/>
      <c r="M11" s="397">
        <f>Tabela756[[#Totals],[Remuneração Anual]]+M10</f>
        <v>239999.99679875601</v>
      </c>
    </row>
    <row r="12" spans="1:219">
      <c r="A12" s="366"/>
      <c r="L12" s="373"/>
    </row>
    <row r="13" spans="1:219">
      <c r="L13" s="373"/>
    </row>
    <row r="15" spans="1:219" s="371" customFormat="1" ht="43.5" thickBot="1">
      <c r="A15" s="405" t="s">
        <v>21</v>
      </c>
      <c r="B15" s="406" t="s">
        <v>706</v>
      </c>
      <c r="C15" s="405" t="s">
        <v>18</v>
      </c>
      <c r="D15" s="405" t="s">
        <v>247</v>
      </c>
      <c r="E15" s="405" t="s">
        <v>248</v>
      </c>
      <c r="F15" s="407" t="s">
        <v>249</v>
      </c>
      <c r="G15" s="405" t="s">
        <v>707</v>
      </c>
      <c r="H15" s="408" t="s">
        <v>250</v>
      </c>
      <c r="I15" s="360"/>
      <c r="J15" s="409"/>
      <c r="K15" s="409"/>
      <c r="L15" s="409"/>
      <c r="M15" s="410"/>
      <c r="N15" s="409"/>
      <c r="O15" s="409"/>
      <c r="P15" s="409"/>
      <c r="Q15" s="409"/>
      <c r="R15" s="360"/>
      <c r="S15" s="360"/>
      <c r="T15" s="360"/>
      <c r="U15" s="360"/>
      <c r="V15" s="360"/>
      <c r="W15" s="360"/>
      <c r="X15" s="360"/>
      <c r="Y15" s="360"/>
      <c r="Z15" s="360"/>
      <c r="AA15" s="360"/>
      <c r="AB15" s="360"/>
      <c r="AC15" s="360"/>
      <c r="AD15" s="360"/>
      <c r="AE15" s="360"/>
      <c r="AF15" s="360"/>
      <c r="AG15" s="360"/>
      <c r="AH15" s="360"/>
      <c r="AI15" s="360"/>
      <c r="AJ15" s="360"/>
      <c r="AK15" s="360"/>
      <c r="AL15" s="360"/>
      <c r="AM15" s="360"/>
      <c r="AN15" s="360"/>
      <c r="AO15" s="360"/>
      <c r="AP15" s="360"/>
      <c r="AQ15" s="360"/>
      <c r="AR15" s="360"/>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0"/>
      <c r="BW15" s="360"/>
      <c r="BX15" s="360"/>
      <c r="BY15" s="360"/>
      <c r="BZ15" s="360"/>
      <c r="CA15" s="360"/>
      <c r="CB15" s="360"/>
      <c r="CC15" s="360"/>
      <c r="CD15" s="360"/>
      <c r="CE15" s="360"/>
      <c r="CF15" s="360"/>
      <c r="CG15" s="360"/>
      <c r="CH15" s="360"/>
      <c r="CI15" s="360"/>
      <c r="CJ15" s="360"/>
      <c r="CK15" s="360"/>
      <c r="CL15" s="360"/>
      <c r="CM15" s="360"/>
      <c r="CN15" s="360"/>
      <c r="CO15" s="360"/>
      <c r="CP15" s="360"/>
      <c r="CQ15" s="360"/>
      <c r="CR15" s="360"/>
      <c r="CS15" s="360"/>
      <c r="CT15" s="360"/>
      <c r="CU15" s="360"/>
      <c r="CV15" s="360"/>
      <c r="CW15" s="360"/>
      <c r="CX15" s="360"/>
      <c r="CY15" s="360"/>
      <c r="CZ15" s="360"/>
      <c r="DA15" s="360"/>
      <c r="DB15" s="360"/>
      <c r="DC15" s="360"/>
      <c r="DD15" s="360"/>
      <c r="DE15" s="360"/>
      <c r="DF15" s="360"/>
      <c r="DG15" s="360"/>
      <c r="DH15" s="360"/>
      <c r="DI15" s="360"/>
      <c r="DJ15" s="360"/>
      <c r="DK15" s="360"/>
      <c r="DL15" s="360"/>
      <c r="DM15" s="360"/>
      <c r="DN15" s="360"/>
      <c r="DO15" s="360"/>
      <c r="DP15" s="360"/>
      <c r="DQ15" s="360"/>
      <c r="DR15" s="360"/>
      <c r="DS15" s="360"/>
      <c r="DT15" s="360"/>
      <c r="DU15" s="360"/>
      <c r="DV15" s="360"/>
      <c r="DW15" s="360"/>
      <c r="DX15" s="360"/>
      <c r="DY15" s="360"/>
      <c r="DZ15" s="360"/>
      <c r="EA15" s="360"/>
      <c r="EB15" s="360"/>
      <c r="EC15" s="360"/>
      <c r="ED15" s="360"/>
      <c r="EE15" s="360"/>
      <c r="EF15" s="360"/>
      <c r="EG15" s="360"/>
      <c r="EH15" s="360"/>
      <c r="EI15" s="360"/>
      <c r="EJ15" s="360"/>
      <c r="EK15" s="360"/>
      <c r="EL15" s="360"/>
      <c r="EM15" s="360"/>
      <c r="EN15" s="360"/>
      <c r="EO15" s="360"/>
      <c r="EP15" s="360"/>
      <c r="EQ15" s="360"/>
      <c r="ER15" s="360"/>
      <c r="ES15" s="360"/>
      <c r="ET15" s="360"/>
      <c r="EU15" s="360"/>
      <c r="EV15" s="360"/>
      <c r="EW15" s="360"/>
      <c r="EX15" s="360"/>
      <c r="EY15" s="360"/>
      <c r="EZ15" s="360"/>
      <c r="FA15" s="360"/>
      <c r="FB15" s="360"/>
      <c r="FC15" s="360"/>
      <c r="FD15" s="360"/>
      <c r="FE15" s="360"/>
      <c r="FF15" s="360"/>
      <c r="FG15" s="360"/>
      <c r="FH15" s="360"/>
      <c r="FI15" s="360"/>
      <c r="FJ15" s="360"/>
      <c r="FK15" s="360"/>
      <c r="FL15" s="360"/>
      <c r="FM15" s="360"/>
      <c r="FN15" s="360"/>
      <c r="FO15" s="360"/>
      <c r="FP15" s="360"/>
      <c r="FQ15" s="360"/>
      <c r="FR15" s="360"/>
      <c r="FS15" s="360"/>
      <c r="FT15" s="360"/>
      <c r="FU15" s="360"/>
      <c r="FV15" s="360"/>
      <c r="FW15" s="360"/>
      <c r="FX15" s="360"/>
      <c r="FY15" s="360"/>
      <c r="FZ15" s="360"/>
      <c r="GA15" s="360"/>
      <c r="GB15" s="360"/>
      <c r="GC15" s="360"/>
      <c r="GD15" s="360"/>
      <c r="GE15" s="360"/>
      <c r="GF15" s="360"/>
      <c r="GG15" s="360"/>
      <c r="GH15" s="360"/>
      <c r="GI15" s="360"/>
      <c r="GJ15" s="360"/>
      <c r="GK15" s="360"/>
      <c r="GL15" s="360"/>
      <c r="GM15" s="360"/>
      <c r="GN15" s="360"/>
      <c r="GO15" s="360"/>
      <c r="GP15" s="360"/>
      <c r="GQ15" s="360"/>
      <c r="GR15" s="360"/>
      <c r="GS15" s="360"/>
      <c r="GT15" s="360"/>
      <c r="GU15" s="360"/>
      <c r="GV15" s="360"/>
      <c r="GW15" s="360"/>
      <c r="GX15" s="360"/>
      <c r="GY15" s="360"/>
      <c r="GZ15" s="360"/>
      <c r="HA15" s="360"/>
      <c r="HB15" s="360"/>
      <c r="HC15" s="360"/>
      <c r="HD15" s="360"/>
      <c r="HE15" s="360"/>
      <c r="HF15" s="360"/>
      <c r="HG15" s="360"/>
      <c r="HH15" s="360"/>
      <c r="HI15" s="360"/>
      <c r="HJ15" s="360"/>
      <c r="HK15" s="360"/>
    </row>
    <row r="16" spans="1:219" s="371" customFormat="1">
      <c r="A16" s="408"/>
      <c r="B16" s="411" t="s">
        <v>148</v>
      </c>
      <c r="C16" s="412">
        <f>Tabela5[[#Totals],[Mão de Obras]]</f>
        <v>5.0002919299881405</v>
      </c>
      <c r="D16" s="413">
        <f>'PLANILHA DE CUSTOS'!G14</f>
        <v>2710.1714579257778</v>
      </c>
      <c r="E16" s="413">
        <f>D16*C16</f>
        <v>13551.64846995046</v>
      </c>
      <c r="F16" s="412">
        <v>12</v>
      </c>
      <c r="G16" s="414">
        <f>F16*E16</f>
        <v>162619.78163940553</v>
      </c>
      <c r="H16" s="415">
        <f>G16/$G$20</f>
        <v>0.67758243253546746</v>
      </c>
      <c r="I16" s="360"/>
      <c r="J16" s="360"/>
      <c r="K16" s="360"/>
      <c r="L16" s="360"/>
      <c r="M16" s="374"/>
      <c r="N16" s="360"/>
      <c r="O16" s="360"/>
      <c r="P16" s="360"/>
      <c r="Q16" s="360"/>
      <c r="R16" s="360"/>
      <c r="S16" s="360"/>
      <c r="T16" s="360"/>
      <c r="U16" s="360"/>
      <c r="V16" s="360"/>
      <c r="W16" s="360"/>
      <c r="X16" s="360"/>
      <c r="Y16" s="360"/>
      <c r="Z16" s="360"/>
      <c r="AA16" s="360"/>
      <c r="AB16" s="360"/>
      <c r="AC16" s="360"/>
      <c r="AD16" s="360"/>
      <c r="AE16" s="360"/>
      <c r="AF16" s="360"/>
      <c r="AG16" s="360"/>
      <c r="AH16" s="360"/>
      <c r="AI16" s="360"/>
      <c r="AJ16" s="360"/>
      <c r="AK16" s="360"/>
      <c r="AL16" s="360"/>
      <c r="AM16" s="360"/>
      <c r="AN16" s="360"/>
      <c r="AO16" s="360"/>
      <c r="AP16" s="360"/>
      <c r="AQ16" s="360"/>
      <c r="AR16" s="360"/>
      <c r="AS16" s="360"/>
      <c r="AT16" s="360"/>
      <c r="AU16" s="360"/>
      <c r="AV16" s="360"/>
      <c r="AW16" s="360"/>
      <c r="AX16" s="360"/>
      <c r="AY16" s="360"/>
      <c r="AZ16" s="360"/>
      <c r="BA16" s="360"/>
      <c r="BB16" s="360"/>
      <c r="BC16" s="360"/>
      <c r="BD16" s="360"/>
      <c r="BE16" s="360"/>
      <c r="BF16" s="360"/>
      <c r="BG16" s="360"/>
      <c r="BH16" s="360"/>
      <c r="BI16" s="360"/>
      <c r="BJ16" s="360"/>
      <c r="BK16" s="360"/>
      <c r="BL16" s="360"/>
      <c r="BM16" s="360"/>
      <c r="BN16" s="360"/>
      <c r="BO16" s="360"/>
      <c r="BP16" s="360"/>
      <c r="BQ16" s="360"/>
      <c r="BR16" s="360"/>
      <c r="BS16" s="360"/>
      <c r="BT16" s="360"/>
      <c r="BU16" s="360"/>
      <c r="BV16" s="360"/>
      <c r="BW16" s="360"/>
      <c r="BX16" s="360"/>
      <c r="BY16" s="360"/>
      <c r="BZ16" s="360"/>
      <c r="CA16" s="360"/>
      <c r="CB16" s="360"/>
      <c r="CC16" s="360"/>
      <c r="CD16" s="360"/>
      <c r="CE16" s="360"/>
      <c r="CF16" s="360"/>
      <c r="CG16" s="360"/>
      <c r="CH16" s="360"/>
      <c r="CI16" s="360"/>
      <c r="CJ16" s="360"/>
      <c r="CK16" s="360"/>
      <c r="CL16" s="360"/>
      <c r="CM16" s="360"/>
      <c r="CN16" s="360"/>
      <c r="CO16" s="360"/>
      <c r="CP16" s="360"/>
      <c r="CQ16" s="360"/>
      <c r="CR16" s="360"/>
      <c r="CS16" s="360"/>
      <c r="CT16" s="360"/>
      <c r="CU16" s="360"/>
      <c r="CV16" s="360"/>
      <c r="CW16" s="360"/>
      <c r="CX16" s="360"/>
      <c r="CY16" s="360"/>
      <c r="CZ16" s="360"/>
      <c r="DA16" s="360"/>
      <c r="DB16" s="360"/>
      <c r="DC16" s="360"/>
      <c r="DD16" s="360"/>
      <c r="DE16" s="360"/>
      <c r="DF16" s="360"/>
      <c r="DG16" s="360"/>
      <c r="DH16" s="360"/>
      <c r="DI16" s="360"/>
      <c r="DJ16" s="360"/>
      <c r="DK16" s="360"/>
      <c r="DL16" s="360"/>
      <c r="DM16" s="360"/>
      <c r="DN16" s="360"/>
      <c r="DO16" s="360"/>
      <c r="DP16" s="360"/>
      <c r="DQ16" s="360"/>
      <c r="DR16" s="360"/>
      <c r="DS16" s="360"/>
      <c r="DT16" s="360"/>
      <c r="DU16" s="360"/>
      <c r="DV16" s="360"/>
      <c r="DW16" s="360"/>
      <c r="DX16" s="360"/>
      <c r="DY16" s="360"/>
      <c r="DZ16" s="360"/>
      <c r="EA16" s="360"/>
      <c r="EB16" s="360"/>
      <c r="EC16" s="360"/>
      <c r="ED16" s="360"/>
      <c r="EE16" s="360"/>
      <c r="EF16" s="360"/>
      <c r="EG16" s="360"/>
      <c r="EH16" s="360"/>
      <c r="EI16" s="360"/>
      <c r="EJ16" s="360"/>
      <c r="EK16" s="360"/>
      <c r="EL16" s="360"/>
      <c r="EM16" s="360"/>
      <c r="EN16" s="360"/>
      <c r="EO16" s="360"/>
      <c r="EP16" s="360"/>
      <c r="EQ16" s="360"/>
      <c r="ER16" s="360"/>
      <c r="ES16" s="360"/>
      <c r="ET16" s="360"/>
      <c r="EU16" s="360"/>
      <c r="EV16" s="360"/>
      <c r="EW16" s="360"/>
      <c r="EX16" s="360"/>
      <c r="EY16" s="360"/>
      <c r="EZ16" s="360"/>
      <c r="FA16" s="360"/>
      <c r="FB16" s="360"/>
      <c r="FC16" s="360"/>
      <c r="FD16" s="360"/>
      <c r="FE16" s="360"/>
      <c r="FF16" s="360"/>
      <c r="FG16" s="360"/>
      <c r="FH16" s="360"/>
      <c r="FI16" s="360"/>
      <c r="FJ16" s="360"/>
      <c r="FK16" s="360"/>
      <c r="FL16" s="360"/>
      <c r="FM16" s="360"/>
      <c r="FN16" s="360"/>
      <c r="FO16" s="360"/>
      <c r="FP16" s="360"/>
      <c r="FQ16" s="360"/>
      <c r="FR16" s="360"/>
      <c r="FS16" s="360"/>
      <c r="FT16" s="360"/>
      <c r="FU16" s="360"/>
      <c r="FV16" s="360"/>
      <c r="FW16" s="360"/>
      <c r="FX16" s="360"/>
      <c r="FY16" s="360"/>
      <c r="FZ16" s="360"/>
      <c r="GA16" s="360"/>
      <c r="GB16" s="360"/>
      <c r="GC16" s="360"/>
      <c r="GD16" s="360"/>
      <c r="GE16" s="360"/>
      <c r="GF16" s="360"/>
      <c r="GG16" s="360"/>
      <c r="GH16" s="360"/>
      <c r="GI16" s="360"/>
      <c r="GJ16" s="360"/>
      <c r="GK16" s="360"/>
      <c r="GL16" s="360"/>
      <c r="GM16" s="360"/>
      <c r="GN16" s="360"/>
      <c r="GO16" s="360"/>
      <c r="GP16" s="360"/>
      <c r="GQ16" s="360"/>
      <c r="GR16" s="360"/>
      <c r="GS16" s="360"/>
      <c r="GT16" s="360"/>
      <c r="GU16" s="360"/>
      <c r="GV16" s="360"/>
      <c r="GW16" s="360"/>
      <c r="GX16" s="360"/>
      <c r="GY16" s="360"/>
      <c r="GZ16" s="360"/>
      <c r="HA16" s="360"/>
      <c r="HB16" s="360"/>
      <c r="HC16" s="360"/>
      <c r="HD16" s="360"/>
      <c r="HE16" s="360"/>
      <c r="HF16" s="360"/>
      <c r="HG16" s="360"/>
      <c r="HH16" s="360"/>
      <c r="HI16" s="360"/>
      <c r="HJ16" s="360"/>
      <c r="HK16" s="360"/>
    </row>
    <row r="17" spans="1:219" s="371" customFormat="1">
      <c r="A17" s="408"/>
      <c r="B17" s="411" t="s">
        <v>234</v>
      </c>
      <c r="C17" s="412">
        <f>IF(C16&gt;4,1,0)</f>
        <v>1</v>
      </c>
      <c r="D17" s="413">
        <f>'PLANILHA DE CUSTOS'!G13</f>
        <v>3139.8850132792086</v>
      </c>
      <c r="E17" s="413">
        <f>D17*C17</f>
        <v>3139.8850132792086</v>
      </c>
      <c r="F17" s="412">
        <v>12</v>
      </c>
      <c r="G17" s="414">
        <f>F17*E17</f>
        <v>37678.620159350503</v>
      </c>
      <c r="H17" s="415">
        <f t="shared" ref="H17:H20" si="0">G17/$G$20</f>
        <v>0.15699425275803086</v>
      </c>
      <c r="I17" s="360"/>
      <c r="J17" s="360"/>
      <c r="K17" s="360"/>
      <c r="L17" s="360"/>
      <c r="M17" s="374"/>
      <c r="N17" s="360"/>
      <c r="O17" s="360"/>
      <c r="P17" s="360"/>
      <c r="Q17" s="360"/>
      <c r="R17" s="360"/>
      <c r="S17" s="360"/>
      <c r="T17" s="360"/>
      <c r="U17" s="360"/>
      <c r="V17" s="360"/>
      <c r="W17" s="360"/>
      <c r="X17" s="360"/>
      <c r="Y17" s="360"/>
      <c r="Z17" s="360"/>
      <c r="AA17" s="360"/>
      <c r="AB17" s="360"/>
      <c r="AC17" s="360"/>
      <c r="AD17" s="360"/>
      <c r="AE17" s="360"/>
      <c r="AF17" s="360"/>
      <c r="AG17" s="360"/>
      <c r="AH17" s="360"/>
      <c r="AI17" s="360"/>
      <c r="AJ17" s="360"/>
      <c r="AK17" s="360"/>
      <c r="AL17" s="360"/>
      <c r="AM17" s="360"/>
      <c r="AN17" s="360"/>
      <c r="AO17" s="360"/>
      <c r="AP17" s="360"/>
      <c r="AQ17" s="360"/>
      <c r="AR17" s="360"/>
      <c r="AS17" s="360"/>
      <c r="AT17" s="360"/>
      <c r="AU17" s="360"/>
      <c r="AV17" s="360"/>
      <c r="AW17" s="360"/>
      <c r="AX17" s="360"/>
      <c r="AY17" s="360"/>
      <c r="AZ17" s="360"/>
      <c r="BA17" s="360"/>
      <c r="BB17" s="360"/>
      <c r="BC17" s="360"/>
      <c r="BD17" s="360"/>
      <c r="BE17" s="360"/>
      <c r="BF17" s="360"/>
      <c r="BG17" s="360"/>
      <c r="BH17" s="360"/>
      <c r="BI17" s="360"/>
      <c r="BJ17" s="360"/>
      <c r="BK17" s="360"/>
      <c r="BL17" s="360"/>
      <c r="BM17" s="360"/>
      <c r="BN17" s="360"/>
      <c r="BO17" s="360"/>
      <c r="BP17" s="360"/>
      <c r="BQ17" s="360"/>
      <c r="BR17" s="360"/>
      <c r="BS17" s="360"/>
      <c r="BT17" s="360"/>
      <c r="BU17" s="360"/>
      <c r="BV17" s="360"/>
      <c r="BW17" s="360"/>
      <c r="BX17" s="360"/>
      <c r="BY17" s="360"/>
      <c r="BZ17" s="360"/>
      <c r="CA17" s="360"/>
      <c r="CB17" s="360"/>
      <c r="CC17" s="360"/>
      <c r="CD17" s="360"/>
      <c r="CE17" s="360"/>
      <c r="CF17" s="360"/>
      <c r="CG17" s="360"/>
      <c r="CH17" s="360"/>
      <c r="CI17" s="360"/>
      <c r="CJ17" s="360"/>
      <c r="CK17" s="360"/>
      <c r="CL17" s="360"/>
      <c r="CM17" s="360"/>
      <c r="CN17" s="360"/>
      <c r="CO17" s="360"/>
      <c r="CP17" s="360"/>
      <c r="CQ17" s="360"/>
      <c r="CR17" s="360"/>
      <c r="CS17" s="360"/>
      <c r="CT17" s="360"/>
      <c r="CU17" s="360"/>
      <c r="CV17" s="360"/>
      <c r="CW17" s="360"/>
      <c r="CX17" s="360"/>
      <c r="CY17" s="360"/>
      <c r="CZ17" s="360"/>
      <c r="DA17" s="360"/>
      <c r="DB17" s="360"/>
      <c r="DC17" s="360"/>
      <c r="DD17" s="360"/>
      <c r="DE17" s="360"/>
      <c r="DF17" s="360"/>
      <c r="DG17" s="360"/>
      <c r="DH17" s="360"/>
      <c r="DI17" s="360"/>
      <c r="DJ17" s="360"/>
      <c r="DK17" s="360"/>
      <c r="DL17" s="360"/>
      <c r="DM17" s="360"/>
      <c r="DN17" s="360"/>
      <c r="DO17" s="360"/>
      <c r="DP17" s="360"/>
      <c r="DQ17" s="360"/>
      <c r="DR17" s="360"/>
      <c r="DS17" s="360"/>
      <c r="DT17" s="360"/>
      <c r="DU17" s="360"/>
      <c r="DV17" s="360"/>
      <c r="DW17" s="360"/>
      <c r="DX17" s="360"/>
      <c r="DY17" s="360"/>
      <c r="DZ17" s="360"/>
      <c r="EA17" s="360"/>
      <c r="EB17" s="360"/>
      <c r="EC17" s="360"/>
      <c r="ED17" s="360"/>
      <c r="EE17" s="360"/>
      <c r="EF17" s="360"/>
      <c r="EG17" s="360"/>
      <c r="EH17" s="360"/>
      <c r="EI17" s="360"/>
      <c r="EJ17" s="360"/>
      <c r="EK17" s="360"/>
      <c r="EL17" s="360"/>
      <c r="EM17" s="360"/>
      <c r="EN17" s="360"/>
      <c r="EO17" s="360"/>
      <c r="EP17" s="360"/>
      <c r="EQ17" s="360"/>
      <c r="ER17" s="360"/>
      <c r="ES17" s="360"/>
      <c r="ET17" s="360"/>
      <c r="EU17" s="360"/>
      <c r="EV17" s="360"/>
      <c r="EW17" s="360"/>
      <c r="EX17" s="360"/>
      <c r="EY17" s="360"/>
      <c r="EZ17" s="360"/>
      <c r="FA17" s="360"/>
      <c r="FB17" s="360"/>
      <c r="FC17" s="360"/>
      <c r="FD17" s="360"/>
      <c r="FE17" s="360"/>
      <c r="FF17" s="360"/>
      <c r="FG17" s="360"/>
      <c r="FH17" s="360"/>
      <c r="FI17" s="360"/>
      <c r="FJ17" s="360"/>
      <c r="FK17" s="360"/>
      <c r="FL17" s="360"/>
      <c r="FM17" s="360"/>
      <c r="FN17" s="360"/>
      <c r="FO17" s="360"/>
      <c r="FP17" s="360"/>
      <c r="FQ17" s="360"/>
      <c r="FR17" s="360"/>
      <c r="FS17" s="360"/>
      <c r="FT17" s="360"/>
      <c r="FU17" s="360"/>
      <c r="FV17" s="360"/>
      <c r="FW17" s="360"/>
      <c r="FX17" s="360"/>
      <c r="FY17" s="360"/>
      <c r="FZ17" s="360"/>
      <c r="GA17" s="360"/>
      <c r="GB17" s="360"/>
      <c r="GC17" s="360"/>
      <c r="GD17" s="360"/>
      <c r="GE17" s="360"/>
      <c r="GF17" s="360"/>
      <c r="GG17" s="360"/>
      <c r="GH17" s="360"/>
      <c r="GI17" s="360"/>
      <c r="GJ17" s="360"/>
      <c r="GK17" s="360"/>
      <c r="GL17" s="360"/>
      <c r="GM17" s="360"/>
      <c r="GN17" s="360"/>
      <c r="GO17" s="360"/>
      <c r="GP17" s="360"/>
      <c r="GQ17" s="360"/>
      <c r="GR17" s="360"/>
      <c r="GS17" s="360"/>
      <c r="GT17" s="360"/>
      <c r="GU17" s="360"/>
      <c r="GV17" s="360"/>
      <c r="GW17" s="360"/>
      <c r="GX17" s="360"/>
      <c r="GY17" s="360"/>
      <c r="GZ17" s="360"/>
      <c r="HA17" s="360"/>
      <c r="HB17" s="360"/>
      <c r="HC17" s="360"/>
      <c r="HD17" s="360"/>
      <c r="HE17" s="360"/>
      <c r="HF17" s="360"/>
      <c r="HG17" s="360"/>
      <c r="HH17" s="360"/>
      <c r="HI17" s="360"/>
      <c r="HJ17" s="360"/>
      <c r="HK17" s="360"/>
    </row>
    <row r="18" spans="1:219" s="371" customFormat="1">
      <c r="A18" s="408">
        <v>1</v>
      </c>
      <c r="B18" s="411" t="s">
        <v>313</v>
      </c>
      <c r="C18" s="412">
        <f>SUBTOTAL(109,C16:C17)</f>
        <v>6.0002919299881405</v>
      </c>
      <c r="D18" s="413">
        <f>SUBTOTAL(109,D16:D17)</f>
        <v>5850.0564712049863</v>
      </c>
      <c r="E18" s="413">
        <f>SUM(E16:E17)</f>
        <v>16691.533483229668</v>
      </c>
      <c r="F18" s="412">
        <v>12</v>
      </c>
      <c r="G18" s="414">
        <f>SUM(G16:G17)</f>
        <v>200298.40179875604</v>
      </c>
      <c r="H18" s="415">
        <f t="shared" si="0"/>
        <v>0.83457668529349838</v>
      </c>
      <c r="I18" s="360"/>
      <c r="J18" s="360"/>
      <c r="K18" s="360"/>
      <c r="L18" s="360"/>
      <c r="M18" s="374"/>
      <c r="N18" s="360"/>
      <c r="O18" s="360"/>
      <c r="P18" s="360"/>
      <c r="Q18" s="360"/>
      <c r="R18" s="360"/>
      <c r="S18" s="360"/>
      <c r="T18" s="360"/>
      <c r="U18" s="360"/>
      <c r="V18" s="360"/>
      <c r="W18" s="360"/>
      <c r="X18" s="360"/>
      <c r="Y18" s="360"/>
      <c r="Z18" s="360"/>
      <c r="AA18" s="360"/>
      <c r="AB18" s="360"/>
      <c r="AC18" s="360"/>
      <c r="AD18" s="360"/>
      <c r="AE18" s="360"/>
      <c r="AF18" s="360"/>
      <c r="AG18" s="360"/>
      <c r="AH18" s="360"/>
      <c r="AI18" s="360"/>
      <c r="AJ18" s="360"/>
      <c r="AK18" s="360"/>
      <c r="AL18" s="360"/>
      <c r="AM18" s="360"/>
      <c r="AN18" s="360"/>
      <c r="AO18" s="360"/>
      <c r="AP18" s="360"/>
      <c r="AQ18" s="360"/>
      <c r="AR18" s="360"/>
      <c r="AS18" s="360"/>
      <c r="AT18" s="360"/>
      <c r="AU18" s="360"/>
      <c r="AV18" s="360"/>
      <c r="AW18" s="360"/>
      <c r="AX18" s="360"/>
      <c r="AY18" s="360"/>
      <c r="AZ18" s="360"/>
      <c r="BA18" s="360"/>
      <c r="BB18" s="360"/>
      <c r="BC18" s="360"/>
      <c r="BD18" s="360"/>
      <c r="BE18" s="360"/>
      <c r="BF18" s="360"/>
      <c r="BG18" s="360"/>
      <c r="BH18" s="360"/>
      <c r="BI18" s="360"/>
      <c r="BJ18" s="360"/>
      <c r="BK18" s="360"/>
      <c r="BL18" s="360"/>
      <c r="BM18" s="360"/>
      <c r="BN18" s="360"/>
      <c r="BO18" s="360"/>
      <c r="BP18" s="360"/>
      <c r="BQ18" s="360"/>
      <c r="BR18" s="360"/>
      <c r="BS18" s="360"/>
      <c r="BT18" s="360"/>
      <c r="BU18" s="360"/>
      <c r="BV18" s="360"/>
      <c r="BW18" s="360"/>
      <c r="BX18" s="360"/>
      <c r="BY18" s="360"/>
      <c r="BZ18" s="360"/>
      <c r="CA18" s="360"/>
      <c r="CB18" s="360"/>
      <c r="CC18" s="360"/>
      <c r="CD18" s="360"/>
      <c r="CE18" s="360"/>
      <c r="CF18" s="360"/>
      <c r="CG18" s="360"/>
      <c r="CH18" s="360"/>
      <c r="CI18" s="360"/>
      <c r="CJ18" s="360"/>
      <c r="CK18" s="360"/>
      <c r="CL18" s="360"/>
      <c r="CM18" s="360"/>
      <c r="CN18" s="360"/>
      <c r="CO18" s="360"/>
      <c r="CP18" s="360"/>
      <c r="CQ18" s="360"/>
      <c r="CR18" s="360"/>
      <c r="CS18" s="360"/>
      <c r="CT18" s="360"/>
      <c r="CU18" s="360"/>
      <c r="CV18" s="360"/>
      <c r="CW18" s="360"/>
      <c r="CX18" s="360"/>
      <c r="CY18" s="360"/>
      <c r="CZ18" s="360"/>
      <c r="DA18" s="360"/>
      <c r="DB18" s="360"/>
      <c r="DC18" s="360"/>
      <c r="DD18" s="360"/>
      <c r="DE18" s="360"/>
      <c r="DF18" s="360"/>
      <c r="DG18" s="360"/>
      <c r="DH18" s="360"/>
      <c r="DI18" s="360"/>
      <c r="DJ18" s="360"/>
      <c r="DK18" s="360"/>
      <c r="DL18" s="360"/>
      <c r="DM18" s="360"/>
      <c r="DN18" s="360"/>
      <c r="DO18" s="360"/>
      <c r="DP18" s="360"/>
      <c r="DQ18" s="360"/>
      <c r="DR18" s="360"/>
      <c r="DS18" s="360"/>
      <c r="DT18" s="360"/>
      <c r="DU18" s="360"/>
      <c r="DV18" s="360"/>
      <c r="DW18" s="360"/>
      <c r="DX18" s="360"/>
      <c r="DY18" s="360"/>
      <c r="DZ18" s="360"/>
      <c r="EA18" s="360"/>
      <c r="EB18" s="360"/>
      <c r="EC18" s="360"/>
      <c r="ED18" s="360"/>
      <c r="EE18" s="360"/>
      <c r="EF18" s="360"/>
      <c r="EG18" s="360"/>
      <c r="EH18" s="360"/>
      <c r="EI18" s="360"/>
      <c r="EJ18" s="360"/>
      <c r="EK18" s="360"/>
      <c r="EL18" s="360"/>
      <c r="EM18" s="360"/>
      <c r="EN18" s="360"/>
      <c r="EO18" s="360"/>
      <c r="EP18" s="360"/>
      <c r="EQ18" s="360"/>
      <c r="ER18" s="360"/>
      <c r="ES18" s="360"/>
      <c r="ET18" s="360"/>
      <c r="EU18" s="360"/>
      <c r="EV18" s="360"/>
      <c r="EW18" s="360"/>
      <c r="EX18" s="360"/>
      <c r="EY18" s="360"/>
      <c r="EZ18" s="360"/>
      <c r="FA18" s="360"/>
      <c r="FB18" s="360"/>
      <c r="FC18" s="360"/>
      <c r="FD18" s="360"/>
      <c r="FE18" s="360"/>
      <c r="FF18" s="360"/>
      <c r="FG18" s="360"/>
      <c r="FH18" s="360"/>
      <c r="FI18" s="360"/>
      <c r="FJ18" s="360"/>
      <c r="FK18" s="360"/>
      <c r="FL18" s="360"/>
      <c r="FM18" s="360"/>
      <c r="FN18" s="360"/>
      <c r="FO18" s="360"/>
      <c r="FP18" s="360"/>
      <c r="FQ18" s="360"/>
      <c r="FR18" s="360"/>
      <c r="FS18" s="360"/>
      <c r="FT18" s="360"/>
      <c r="FU18" s="360"/>
      <c r="FV18" s="360"/>
      <c r="FW18" s="360"/>
      <c r="FX18" s="360"/>
      <c r="FY18" s="360"/>
      <c r="FZ18" s="360"/>
      <c r="GA18" s="360"/>
      <c r="GB18" s="360"/>
      <c r="GC18" s="360"/>
      <c r="GD18" s="360"/>
      <c r="GE18" s="360"/>
      <c r="GF18" s="360"/>
      <c r="GG18" s="360"/>
      <c r="GH18" s="360"/>
      <c r="GI18" s="360"/>
      <c r="GJ18" s="360"/>
      <c r="GK18" s="360"/>
      <c r="GL18" s="360"/>
      <c r="GM18" s="360"/>
      <c r="GN18" s="360"/>
      <c r="GO18" s="360"/>
      <c r="GP18" s="360"/>
      <c r="GQ18" s="360"/>
      <c r="GR18" s="360"/>
      <c r="GS18" s="360"/>
      <c r="GT18" s="360"/>
      <c r="GU18" s="360"/>
      <c r="GV18" s="360"/>
      <c r="GW18" s="360"/>
      <c r="GX18" s="360"/>
      <c r="GY18" s="360"/>
      <c r="GZ18" s="360"/>
      <c r="HA18" s="360"/>
      <c r="HB18" s="360"/>
      <c r="HC18" s="360"/>
      <c r="HD18" s="360"/>
      <c r="HE18" s="360"/>
      <c r="HF18" s="360"/>
      <c r="HG18" s="360"/>
      <c r="HH18" s="360"/>
      <c r="HI18" s="360"/>
      <c r="HJ18" s="360"/>
      <c r="HK18" s="360"/>
    </row>
    <row r="19" spans="1:219" s="371" customFormat="1">
      <c r="A19" s="408">
        <v>2</v>
      </c>
      <c r="B19" s="411" t="s">
        <v>106</v>
      </c>
      <c r="C19" s="412" t="s">
        <v>239</v>
      </c>
      <c r="D19" s="413"/>
      <c r="E19" s="413">
        <f>Tabela14[[#Totals],[CUSTO MÉDIO MENSAL (R$)]]</f>
        <v>3308.4662499999999</v>
      </c>
      <c r="F19" s="412">
        <v>12</v>
      </c>
      <c r="G19" s="414">
        <f>F19*E19</f>
        <v>39701.595000000001</v>
      </c>
      <c r="H19" s="415">
        <f t="shared" si="0"/>
        <v>0.16542331470650162</v>
      </c>
      <c r="I19" s="360"/>
      <c r="J19" s="416"/>
      <c r="K19" s="360"/>
      <c r="L19" s="360"/>
      <c r="M19" s="374"/>
      <c r="N19" s="360"/>
      <c r="O19" s="360"/>
      <c r="P19" s="360"/>
      <c r="Q19" s="360"/>
      <c r="R19" s="360"/>
      <c r="S19" s="360"/>
      <c r="T19" s="360"/>
      <c r="U19" s="360"/>
      <c r="V19" s="360"/>
      <c r="W19" s="360"/>
      <c r="X19" s="360"/>
      <c r="Y19" s="360"/>
      <c r="Z19" s="360"/>
      <c r="AA19" s="360"/>
      <c r="AB19" s="360"/>
      <c r="AC19" s="360"/>
      <c r="AD19" s="360"/>
      <c r="AE19" s="360"/>
      <c r="AF19" s="360"/>
      <c r="AG19" s="360"/>
      <c r="AH19" s="360"/>
      <c r="AI19" s="360"/>
      <c r="AJ19" s="360"/>
      <c r="AK19" s="360"/>
      <c r="AL19" s="360"/>
      <c r="AM19" s="360"/>
      <c r="AN19" s="360"/>
      <c r="AO19" s="360"/>
      <c r="AP19" s="360"/>
      <c r="AQ19" s="360"/>
      <c r="AR19" s="360"/>
      <c r="AS19" s="360"/>
      <c r="AT19" s="360"/>
      <c r="AU19" s="360"/>
      <c r="AV19" s="360"/>
      <c r="AW19" s="360"/>
      <c r="AX19" s="360"/>
      <c r="AY19" s="360"/>
      <c r="AZ19" s="360"/>
      <c r="BA19" s="360"/>
      <c r="BB19" s="360"/>
      <c r="BC19" s="360"/>
      <c r="BD19" s="360"/>
      <c r="BE19" s="360"/>
      <c r="BF19" s="360"/>
      <c r="BG19" s="360"/>
      <c r="BH19" s="360"/>
      <c r="BI19" s="360"/>
      <c r="BJ19" s="360"/>
      <c r="BK19" s="360"/>
      <c r="BL19" s="360"/>
      <c r="BM19" s="360"/>
      <c r="BN19" s="360"/>
      <c r="BO19" s="360"/>
      <c r="BP19" s="360"/>
      <c r="BQ19" s="360"/>
      <c r="BR19" s="360"/>
      <c r="BS19" s="360"/>
      <c r="BT19" s="360"/>
      <c r="BU19" s="360"/>
      <c r="BV19" s="360"/>
      <c r="BW19" s="360"/>
      <c r="BX19" s="360"/>
      <c r="BY19" s="360"/>
      <c r="BZ19" s="360"/>
      <c r="CA19" s="360"/>
      <c r="CB19" s="360"/>
      <c r="CC19" s="360"/>
      <c r="CD19" s="360"/>
      <c r="CE19" s="360"/>
      <c r="CF19" s="360"/>
      <c r="CG19" s="360"/>
      <c r="CH19" s="360"/>
      <c r="CI19" s="360"/>
      <c r="CJ19" s="360"/>
      <c r="CK19" s="360"/>
      <c r="CL19" s="360"/>
      <c r="CM19" s="360"/>
      <c r="CN19" s="360"/>
      <c r="CO19" s="360"/>
      <c r="CP19" s="360"/>
      <c r="CQ19" s="360"/>
      <c r="CR19" s="360"/>
      <c r="CS19" s="360"/>
      <c r="CT19" s="360"/>
      <c r="CU19" s="360"/>
      <c r="CV19" s="360"/>
      <c r="CW19" s="360"/>
      <c r="CX19" s="360"/>
      <c r="CY19" s="360"/>
      <c r="CZ19" s="360"/>
      <c r="DA19" s="360"/>
      <c r="DB19" s="360"/>
      <c r="DC19" s="360"/>
      <c r="DD19" s="360"/>
      <c r="DE19" s="360"/>
      <c r="DF19" s="360"/>
      <c r="DG19" s="360"/>
      <c r="DH19" s="360"/>
      <c r="DI19" s="360"/>
      <c r="DJ19" s="360"/>
      <c r="DK19" s="360"/>
      <c r="DL19" s="360"/>
      <c r="DM19" s="360"/>
      <c r="DN19" s="360"/>
      <c r="DO19" s="360"/>
      <c r="DP19" s="360"/>
      <c r="DQ19" s="360"/>
      <c r="DR19" s="360"/>
      <c r="DS19" s="360"/>
      <c r="DT19" s="360"/>
      <c r="DU19" s="360"/>
      <c r="DV19" s="360"/>
      <c r="DW19" s="360"/>
      <c r="DX19" s="360"/>
      <c r="DY19" s="360"/>
      <c r="DZ19" s="360"/>
      <c r="EA19" s="360"/>
      <c r="EB19" s="360"/>
      <c r="EC19" s="360"/>
      <c r="ED19" s="360"/>
      <c r="EE19" s="360"/>
      <c r="EF19" s="360"/>
      <c r="EG19" s="360"/>
      <c r="EH19" s="360"/>
      <c r="EI19" s="360"/>
      <c r="EJ19" s="360"/>
      <c r="EK19" s="360"/>
      <c r="EL19" s="360"/>
      <c r="EM19" s="360"/>
      <c r="EN19" s="360"/>
      <c r="EO19" s="360"/>
      <c r="EP19" s="360"/>
      <c r="EQ19" s="360"/>
      <c r="ER19" s="360"/>
      <c r="ES19" s="360"/>
      <c r="ET19" s="360"/>
      <c r="EU19" s="360"/>
      <c r="EV19" s="360"/>
      <c r="EW19" s="360"/>
      <c r="EX19" s="360"/>
      <c r="EY19" s="360"/>
      <c r="EZ19" s="360"/>
      <c r="FA19" s="360"/>
      <c r="FB19" s="360"/>
      <c r="FC19" s="360"/>
      <c r="FD19" s="360"/>
      <c r="FE19" s="360"/>
      <c r="FF19" s="360"/>
      <c r="FG19" s="360"/>
      <c r="FH19" s="360"/>
      <c r="FI19" s="360"/>
      <c r="FJ19" s="360"/>
      <c r="FK19" s="360"/>
      <c r="FL19" s="360"/>
      <c r="FM19" s="360"/>
      <c r="FN19" s="360"/>
      <c r="FO19" s="360"/>
      <c r="FP19" s="360"/>
      <c r="FQ19" s="360"/>
      <c r="FR19" s="360"/>
      <c r="FS19" s="360"/>
      <c r="FT19" s="360"/>
      <c r="FU19" s="360"/>
      <c r="FV19" s="360"/>
      <c r="FW19" s="360"/>
      <c r="FX19" s="360"/>
      <c r="FY19" s="360"/>
      <c r="FZ19" s="360"/>
      <c r="GA19" s="360"/>
      <c r="GB19" s="360"/>
      <c r="GC19" s="360"/>
      <c r="GD19" s="360"/>
      <c r="GE19" s="360"/>
      <c r="GF19" s="360"/>
      <c r="GG19" s="360"/>
      <c r="GH19" s="360"/>
      <c r="GI19" s="360"/>
      <c r="GJ19" s="360"/>
      <c r="GK19" s="360"/>
      <c r="GL19" s="360"/>
      <c r="GM19" s="360"/>
      <c r="GN19" s="360"/>
      <c r="GO19" s="360"/>
      <c r="GP19" s="360"/>
      <c r="GQ19" s="360"/>
      <c r="GR19" s="360"/>
      <c r="GS19" s="360"/>
      <c r="GT19" s="360"/>
      <c r="GU19" s="360"/>
      <c r="GV19" s="360"/>
      <c r="GW19" s="360"/>
      <c r="GX19" s="360"/>
      <c r="GY19" s="360"/>
      <c r="GZ19" s="360"/>
      <c r="HA19" s="360"/>
      <c r="HB19" s="360"/>
      <c r="HC19" s="360"/>
      <c r="HD19" s="360"/>
      <c r="HE19" s="360"/>
      <c r="HF19" s="360"/>
      <c r="HG19" s="360"/>
      <c r="HH19" s="360"/>
      <c r="HI19" s="360"/>
      <c r="HJ19" s="360"/>
      <c r="HK19" s="360"/>
    </row>
    <row r="20" spans="1:219" s="371" customFormat="1">
      <c r="A20" s="408"/>
      <c r="B20" s="411" t="s">
        <v>708</v>
      </c>
      <c r="C20" s="412"/>
      <c r="D20" s="413"/>
      <c r="E20" s="413">
        <f>SUM(E18:E19)</f>
        <v>19999.99973322967</v>
      </c>
      <c r="F20" s="412">
        <v>12</v>
      </c>
      <c r="G20" s="414">
        <f>SUM(G18:G19)</f>
        <v>239999.99679875604</v>
      </c>
      <c r="H20" s="415">
        <f t="shared" si="0"/>
        <v>1</v>
      </c>
      <c r="I20" s="360"/>
      <c r="J20" s="360"/>
      <c r="K20" s="360"/>
      <c r="L20" s="360"/>
      <c r="M20" s="374"/>
      <c r="N20" s="360"/>
      <c r="O20" s="360"/>
      <c r="P20" s="360"/>
      <c r="Q20" s="360"/>
      <c r="R20" s="360"/>
      <c r="S20" s="360"/>
      <c r="T20" s="360"/>
      <c r="U20" s="360"/>
      <c r="V20" s="360"/>
      <c r="W20" s="360"/>
      <c r="X20" s="360"/>
      <c r="Y20" s="360"/>
      <c r="Z20" s="360"/>
      <c r="AA20" s="360"/>
      <c r="AB20" s="360"/>
      <c r="AC20" s="360"/>
      <c r="AD20" s="360"/>
      <c r="AE20" s="360"/>
      <c r="AF20" s="360"/>
      <c r="AG20" s="360"/>
      <c r="AH20" s="360"/>
      <c r="AI20" s="360"/>
      <c r="AJ20" s="360"/>
      <c r="AK20" s="360"/>
      <c r="AL20" s="360"/>
      <c r="AM20" s="360"/>
      <c r="AN20" s="360"/>
      <c r="AO20" s="360"/>
      <c r="AP20" s="360"/>
      <c r="AQ20" s="360"/>
      <c r="AR20" s="360"/>
      <c r="AS20" s="360"/>
      <c r="AT20" s="360"/>
      <c r="AU20" s="360"/>
      <c r="AV20" s="360"/>
      <c r="AW20" s="360"/>
      <c r="AX20" s="360"/>
      <c r="AY20" s="360"/>
      <c r="AZ20" s="360"/>
      <c r="BA20" s="360"/>
      <c r="BB20" s="360"/>
      <c r="BC20" s="360"/>
      <c r="BD20" s="360"/>
      <c r="BE20" s="360"/>
      <c r="BF20" s="360"/>
      <c r="BG20" s="360"/>
      <c r="BH20" s="360"/>
      <c r="BI20" s="360"/>
      <c r="BJ20" s="360"/>
      <c r="BK20" s="360"/>
      <c r="BL20" s="360"/>
      <c r="BM20" s="360"/>
      <c r="BN20" s="360"/>
      <c r="BO20" s="360"/>
      <c r="BP20" s="360"/>
      <c r="BQ20" s="360"/>
      <c r="BR20" s="360"/>
      <c r="BS20" s="360"/>
      <c r="BT20" s="360"/>
      <c r="BU20" s="360"/>
      <c r="BV20" s="360"/>
      <c r="BW20" s="360"/>
      <c r="BX20" s="360"/>
      <c r="BY20" s="360"/>
      <c r="BZ20" s="360"/>
      <c r="CA20" s="360"/>
      <c r="CB20" s="360"/>
      <c r="CC20" s="360"/>
      <c r="CD20" s="360"/>
      <c r="CE20" s="360"/>
      <c r="CF20" s="360"/>
      <c r="CG20" s="360"/>
      <c r="CH20" s="360"/>
      <c r="CI20" s="360"/>
      <c r="CJ20" s="360"/>
      <c r="CK20" s="360"/>
      <c r="CL20" s="360"/>
      <c r="CM20" s="360"/>
      <c r="CN20" s="360"/>
      <c r="CO20" s="360"/>
      <c r="CP20" s="360"/>
      <c r="CQ20" s="360"/>
      <c r="CR20" s="360"/>
      <c r="CS20" s="360"/>
      <c r="CT20" s="360"/>
      <c r="CU20" s="360"/>
      <c r="CV20" s="360"/>
      <c r="CW20" s="360"/>
      <c r="CX20" s="360"/>
      <c r="CY20" s="360"/>
      <c r="CZ20" s="360"/>
      <c r="DA20" s="360"/>
      <c r="DB20" s="360"/>
      <c r="DC20" s="360"/>
      <c r="DD20" s="360"/>
      <c r="DE20" s="360"/>
      <c r="DF20" s="360"/>
      <c r="DG20" s="360"/>
      <c r="DH20" s="360"/>
      <c r="DI20" s="360"/>
      <c r="DJ20" s="360"/>
      <c r="DK20" s="360"/>
      <c r="DL20" s="360"/>
      <c r="DM20" s="360"/>
      <c r="DN20" s="360"/>
      <c r="DO20" s="360"/>
      <c r="DP20" s="360"/>
      <c r="DQ20" s="360"/>
      <c r="DR20" s="360"/>
      <c r="DS20" s="360"/>
      <c r="DT20" s="360"/>
      <c r="DU20" s="360"/>
      <c r="DV20" s="360"/>
      <c r="DW20" s="360"/>
      <c r="DX20" s="360"/>
      <c r="DY20" s="360"/>
      <c r="DZ20" s="360"/>
      <c r="EA20" s="360"/>
      <c r="EB20" s="360"/>
      <c r="EC20" s="360"/>
      <c r="ED20" s="360"/>
      <c r="EE20" s="360"/>
      <c r="EF20" s="360"/>
      <c r="EG20" s="360"/>
      <c r="EH20" s="360"/>
      <c r="EI20" s="360"/>
      <c r="EJ20" s="360"/>
      <c r="EK20" s="360"/>
      <c r="EL20" s="360"/>
      <c r="EM20" s="360"/>
      <c r="EN20" s="360"/>
      <c r="EO20" s="360"/>
      <c r="EP20" s="360"/>
      <c r="EQ20" s="360"/>
      <c r="ER20" s="360"/>
      <c r="ES20" s="360"/>
      <c r="ET20" s="360"/>
      <c r="EU20" s="360"/>
      <c r="EV20" s="360"/>
      <c r="EW20" s="360"/>
      <c r="EX20" s="360"/>
      <c r="EY20" s="360"/>
      <c r="EZ20" s="360"/>
      <c r="FA20" s="360"/>
      <c r="FB20" s="360"/>
      <c r="FC20" s="360"/>
      <c r="FD20" s="360"/>
      <c r="FE20" s="360"/>
      <c r="FF20" s="360"/>
      <c r="FG20" s="360"/>
      <c r="FH20" s="360"/>
      <c r="FI20" s="360"/>
      <c r="FJ20" s="360"/>
      <c r="FK20" s="360"/>
      <c r="FL20" s="360"/>
      <c r="FM20" s="360"/>
      <c r="FN20" s="360"/>
      <c r="FO20" s="360"/>
      <c r="FP20" s="360"/>
      <c r="FQ20" s="360"/>
      <c r="FR20" s="360"/>
      <c r="FS20" s="360"/>
      <c r="FT20" s="360"/>
      <c r="FU20" s="360"/>
      <c r="FV20" s="360"/>
      <c r="FW20" s="360"/>
      <c r="FX20" s="360"/>
      <c r="FY20" s="360"/>
      <c r="FZ20" s="360"/>
      <c r="GA20" s="360"/>
      <c r="GB20" s="360"/>
      <c r="GC20" s="360"/>
      <c r="GD20" s="360"/>
      <c r="GE20" s="360"/>
      <c r="GF20" s="360"/>
      <c r="GG20" s="360"/>
      <c r="GH20" s="360"/>
      <c r="GI20" s="360"/>
      <c r="GJ20" s="360"/>
      <c r="GK20" s="360"/>
      <c r="GL20" s="360"/>
      <c r="GM20" s="360"/>
      <c r="GN20" s="360"/>
      <c r="GO20" s="360"/>
      <c r="GP20" s="360"/>
      <c r="GQ20" s="360"/>
      <c r="GR20" s="360"/>
      <c r="GS20" s="360"/>
      <c r="GT20" s="360"/>
      <c r="GU20" s="360"/>
      <c r="GV20" s="360"/>
      <c r="GW20" s="360"/>
      <c r="GX20" s="360"/>
      <c r="GY20" s="360"/>
      <c r="GZ20" s="360"/>
      <c r="HA20" s="360"/>
      <c r="HB20" s="360"/>
      <c r="HC20" s="360"/>
      <c r="HD20" s="360"/>
      <c r="HE20" s="360"/>
      <c r="HF20" s="360"/>
      <c r="HG20" s="360"/>
      <c r="HH20" s="360"/>
      <c r="HI20" s="360"/>
      <c r="HJ20" s="360"/>
      <c r="HK20" s="360"/>
    </row>
    <row r="21" spans="1:219" s="360" customFormat="1">
      <c r="B21" s="417"/>
      <c r="E21" s="418"/>
      <c r="I21" s="419"/>
      <c r="J21" s="419"/>
      <c r="K21" s="419"/>
      <c r="M21" s="374"/>
    </row>
    <row r="22" spans="1:219" s="360" customFormat="1">
      <c r="A22" s="420" t="s">
        <v>709</v>
      </c>
      <c r="B22" s="417"/>
      <c r="E22" s="418"/>
      <c r="M22" s="374"/>
    </row>
    <row r="23" spans="1:219" s="360" customFormat="1">
      <c r="B23" s="417"/>
      <c r="E23" s="418"/>
      <c r="M23" s="374"/>
    </row>
    <row r="24" spans="1:219" s="360" customFormat="1" ht="57.75" thickBot="1">
      <c r="A24" s="405" t="s">
        <v>21</v>
      </c>
      <c r="B24" s="406" t="s">
        <v>710</v>
      </c>
      <c r="C24" s="405" t="s">
        <v>711</v>
      </c>
      <c r="D24" s="405" t="s">
        <v>712</v>
      </c>
      <c r="E24" s="405" t="s">
        <v>713</v>
      </c>
      <c r="F24" s="405" t="s">
        <v>714</v>
      </c>
      <c r="G24" s="408" t="s">
        <v>715</v>
      </c>
      <c r="H24" s="405" t="s">
        <v>716</v>
      </c>
      <c r="L24" s="374"/>
    </row>
    <row r="25" spans="1:219" s="360" customFormat="1">
      <c r="A25" s="408"/>
      <c r="B25" s="411" t="s">
        <v>148</v>
      </c>
      <c r="C25" s="413">
        <f>Tabela756[[#Totals],[Remuneração Mensal Agente]]</f>
        <v>13551.648469950458</v>
      </c>
      <c r="D25" s="413">
        <f>Tabela640[[#This Row],[Valor Médio Mensal por empregado M2]]*12</f>
        <v>162619.7816394055</v>
      </c>
      <c r="E25" s="421">
        <f>E16</f>
        <v>13551.64846995046</v>
      </c>
      <c r="F25" s="421">
        <f>Tabela640[[#This Row],[Valor Médio Mensal por empregado quantidade]]*12</f>
        <v>162619.78163940553</v>
      </c>
      <c r="G25" s="421">
        <f>Tabela640[[#This Row],[Valor Médio Mensal por empregado M2]]-Tabela640[[#This Row],[Valor Médio Mensal por empregado quantidade]]</f>
        <v>0</v>
      </c>
      <c r="H25" s="421">
        <f>Tabela640[[#This Row],[Valor Médio anual Total M2]]-Tabela640[[#This Row],[Valor Médio anual Total Quantidade]]</f>
        <v>0</v>
      </c>
      <c r="L25" s="374"/>
    </row>
    <row r="26" spans="1:219" s="360" customFormat="1">
      <c r="A26" s="408"/>
      <c r="B26" s="411" t="s">
        <v>234</v>
      </c>
      <c r="C26" s="413">
        <f>Tabela756[[#Totals],[Remuneração Mensal Líder]]</f>
        <v>3139.885013279209</v>
      </c>
      <c r="D26" s="413">
        <f>Tabela640[[#This Row],[Valor Médio Mensal por empregado M2]]*12</f>
        <v>37678.62015935051</v>
      </c>
      <c r="E26" s="421">
        <f>E17</f>
        <v>3139.8850132792086</v>
      </c>
      <c r="F26" s="421">
        <f>Tabela640[[#This Row],[Valor Médio Mensal por empregado quantidade]]*12</f>
        <v>37678.620159350503</v>
      </c>
      <c r="G26" s="421">
        <f>Tabela640[[#This Row],[Valor Médio Mensal por empregado M2]]-Tabela640[[#This Row],[Valor Médio Mensal por empregado quantidade]]</f>
        <v>0</v>
      </c>
      <c r="H26" s="421">
        <f>Tabela640[[#This Row],[Valor Médio anual Total M2]]-Tabela640[[#This Row],[Valor Médio anual Total Quantidade]]</f>
        <v>0</v>
      </c>
      <c r="L26" s="374"/>
    </row>
    <row r="27" spans="1:219" s="360" customFormat="1">
      <c r="A27" s="408">
        <v>1</v>
      </c>
      <c r="B27" s="411" t="s">
        <v>313</v>
      </c>
      <c r="C27" s="413">
        <f>SUM(C25:C26)</f>
        <v>16691.533483229668</v>
      </c>
      <c r="D27" s="413">
        <f>SUM(D25:D26)</f>
        <v>200298.40179875601</v>
      </c>
      <c r="E27" s="421">
        <f>SUM(E25:E26)</f>
        <v>16691.533483229668</v>
      </c>
      <c r="F27" s="421">
        <f>SUM(F25:F26)</f>
        <v>200298.40179875604</v>
      </c>
      <c r="G27" s="421">
        <f>Tabela640[[#This Row],[Valor Médio Mensal por empregado M2]]-Tabela640[[#This Row],[Valor Médio Mensal por empregado quantidade]]</f>
        <v>0</v>
      </c>
      <c r="H27" s="421">
        <f>Tabela640[[#This Row],[Valor Médio anual Total M2]]-Tabela640[[#This Row],[Valor Médio anual Total Quantidade]]</f>
        <v>0</v>
      </c>
      <c r="L27" s="374"/>
    </row>
    <row r="28" spans="1:219" s="360" customFormat="1">
      <c r="A28" s="408">
        <v>2</v>
      </c>
      <c r="B28" s="411" t="s">
        <v>106</v>
      </c>
      <c r="C28" s="413">
        <f>K10</f>
        <v>3308.4662499999999</v>
      </c>
      <c r="D28" s="413">
        <f>Tabela640[[#This Row],[Valor Médio Mensal por empregado M2]]*12</f>
        <v>39701.595000000001</v>
      </c>
      <c r="E28" s="421">
        <f>E19</f>
        <v>3308.4662499999999</v>
      </c>
      <c r="F28" s="421">
        <f>Tabela640[[#This Row],[Valor Médio Mensal por empregado quantidade]]*12</f>
        <v>39701.595000000001</v>
      </c>
      <c r="G28" s="421">
        <f>Tabela640[[#This Row],[Valor Médio Mensal por empregado M2]]-Tabela640[[#This Row],[Valor Médio Mensal por empregado quantidade]]</f>
        <v>0</v>
      </c>
      <c r="H28" s="421">
        <f>Tabela640[[#This Row],[Valor Médio anual Total M2]]-Tabela640[[#This Row],[Valor Médio anual Total Quantidade]]</f>
        <v>0</v>
      </c>
      <c r="L28" s="374"/>
    </row>
    <row r="29" spans="1:219" s="360" customFormat="1">
      <c r="A29" s="408"/>
      <c r="B29" s="411" t="s">
        <v>708</v>
      </c>
      <c r="C29" s="413">
        <f>SUM(C27:C28)</f>
        <v>19999.99973322967</v>
      </c>
      <c r="D29" s="413">
        <f t="shared" ref="D29:E29" si="1">SUM(D27:D28)</f>
        <v>239999.99679875601</v>
      </c>
      <c r="E29" s="421">
        <f t="shared" si="1"/>
        <v>19999.99973322967</v>
      </c>
      <c r="F29" s="421">
        <f>SUM(F27:F28)</f>
        <v>239999.99679875604</v>
      </c>
      <c r="G29" s="421">
        <f>SUM(G27:G28)</f>
        <v>0</v>
      </c>
      <c r="H29" s="421">
        <f>Tabela640[[#This Row],[Valor Médio anual Total M2]]-Tabela640[[#This Row],[Valor Médio anual Total Quantidade]]</f>
        <v>0</v>
      </c>
      <c r="L29" s="374"/>
    </row>
    <row r="30" spans="1:219" s="360" customFormat="1">
      <c r="B30" s="417"/>
      <c r="E30" s="418"/>
      <c r="M30" s="374"/>
    </row>
    <row r="31" spans="1:219" s="360" customFormat="1" ht="15.75">
      <c r="A31" s="422" t="s">
        <v>717</v>
      </c>
      <c r="B31" s="417"/>
      <c r="E31" s="418"/>
      <c r="M31" s="374"/>
    </row>
    <row r="32" spans="1:219" s="360" customFormat="1">
      <c r="A32" s="417" t="s">
        <v>718</v>
      </c>
      <c r="B32" s="420" t="s">
        <v>719</v>
      </c>
      <c r="E32" s="418"/>
      <c r="M32" s="374"/>
    </row>
    <row r="33" spans="1:13" s="360" customFormat="1">
      <c r="A33" s="420" t="s">
        <v>720</v>
      </c>
      <c r="B33" s="417"/>
      <c r="E33" s="418"/>
      <c r="M33" s="374"/>
    </row>
    <row r="34" spans="1:13" s="360" customFormat="1">
      <c r="B34" s="417"/>
      <c r="E34" s="418"/>
      <c r="M34" s="374"/>
    </row>
    <row r="35" spans="1:13" s="360" customFormat="1">
      <c r="B35" s="417"/>
      <c r="E35" s="418"/>
      <c r="M35" s="374"/>
    </row>
  </sheetData>
  <sheetProtection algorithmName="SHA-512" hashValue="MCHus6qwBHZMIngdbDbYCnMzrh4LIKadYBQ7vzA8zZtog92GptMnAURybo1/j/IQ87t5aEtocZlAZv3+0/DsGA==" saltValue="dLsdMBFZ0K031yjEAGw6GA==" spinCount="100000" sheet="1" objects="1" scenarios="1"/>
  <pageMargins left="0.511811024" right="0.511811024" top="0.78740157499999996" bottom="0.78740157499999996" header="0.31496062000000002" footer="0.31496062000000002"/>
  <tableParts count="3">
    <tablePart r:id="rId1"/>
    <tablePart r:id="rId2"/>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'PADRAO E REFERENCIA'!$C$3:$C$21</xm:f>
          </x14:formula1>
          <xm:sqref>B2:B8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AF93"/>
  <sheetViews>
    <sheetView showGridLines="0" tabSelected="1" workbookViewId="0">
      <selection activeCell="B14" sqref="B14"/>
    </sheetView>
  </sheetViews>
  <sheetFormatPr defaultRowHeight="15"/>
  <cols>
    <col min="1" max="1" width="39.140625" style="222" customWidth="1"/>
    <col min="2" max="2" width="38.140625" style="222" customWidth="1"/>
    <col min="3" max="3" width="2.7109375" style="222" customWidth="1"/>
    <col min="4" max="4" width="24.5703125" style="222" customWidth="1"/>
    <col min="5" max="5" width="27.7109375" style="222" customWidth="1"/>
    <col min="6" max="6" width="2.42578125" style="222" customWidth="1"/>
    <col min="7" max="7" width="27.85546875" style="222" customWidth="1"/>
    <col min="8" max="8" width="29.85546875" style="222" customWidth="1"/>
    <col min="9" max="9" width="2.7109375" style="222" customWidth="1"/>
    <col min="10" max="10" width="31.140625" style="222" customWidth="1"/>
    <col min="11" max="11" width="19" style="222" customWidth="1"/>
    <col min="12" max="12" width="3.7109375" style="222" customWidth="1"/>
    <col min="13" max="13" width="30.7109375" style="222" customWidth="1"/>
    <col min="14" max="14" width="20.7109375" style="222" customWidth="1"/>
    <col min="15" max="15" width="2.7109375" style="222" customWidth="1"/>
    <col min="16" max="16" width="23.42578125" style="222" customWidth="1"/>
    <col min="17" max="17" width="16.140625" style="222" customWidth="1"/>
    <col min="18" max="18" width="3.140625" style="222" customWidth="1"/>
    <col min="19" max="19" width="40.140625" style="222" customWidth="1"/>
    <col min="20" max="20" width="20.7109375" style="222" customWidth="1"/>
    <col min="21" max="21" width="17.28515625" style="222" customWidth="1"/>
    <col min="22" max="22" width="2.7109375" style="222" customWidth="1"/>
    <col min="23" max="23" width="9.85546875" style="222" customWidth="1"/>
    <col min="24" max="24" width="55.140625" style="222" customWidth="1"/>
    <col min="25" max="25" width="18" style="222" customWidth="1"/>
    <col min="26" max="26" width="17.28515625" style="222" customWidth="1"/>
    <col min="27" max="27" width="2.7109375" style="222" customWidth="1"/>
    <col min="28" max="28" width="9.140625" style="222"/>
    <col min="29" max="29" width="52.5703125" style="222" customWidth="1"/>
    <col min="30" max="30" width="15" style="222" customWidth="1"/>
    <col min="31" max="31" width="16.28515625" style="222" customWidth="1"/>
    <col min="32" max="32" width="18.7109375" style="222" customWidth="1"/>
    <col min="33" max="16384" width="9.140625" style="222"/>
  </cols>
  <sheetData>
    <row r="1" spans="1:32">
      <c r="A1" s="446" t="s">
        <v>632</v>
      </c>
      <c r="B1" s="446"/>
      <c r="D1" s="445" t="s">
        <v>633</v>
      </c>
      <c r="E1" s="445"/>
      <c r="F1" s="445"/>
      <c r="G1" s="445"/>
      <c r="H1" s="445"/>
      <c r="J1" s="445" t="s">
        <v>634</v>
      </c>
      <c r="K1" s="445"/>
      <c r="L1" s="445"/>
      <c r="M1" s="445"/>
      <c r="N1" s="445"/>
      <c r="P1" s="445" t="s">
        <v>635</v>
      </c>
      <c r="Q1" s="445"/>
      <c r="R1" s="445"/>
      <c r="S1" s="445"/>
      <c r="T1" s="445"/>
      <c r="U1" s="445"/>
      <c r="W1" s="445" t="s">
        <v>636</v>
      </c>
      <c r="X1" s="445"/>
      <c r="Y1" s="445"/>
      <c r="Z1" s="445"/>
      <c r="AB1" s="445" t="s">
        <v>637</v>
      </c>
      <c r="AC1" s="445"/>
      <c r="AD1" s="445"/>
      <c r="AE1" s="445"/>
      <c r="AF1" s="445"/>
    </row>
    <row r="2" spans="1:32">
      <c r="A2" s="446"/>
      <c r="B2" s="446"/>
      <c r="D2" s="445"/>
      <c r="E2" s="445"/>
      <c r="F2" s="445"/>
      <c r="G2" s="445"/>
      <c r="H2" s="445"/>
      <c r="J2" s="445"/>
      <c r="K2" s="445"/>
      <c r="L2" s="445"/>
      <c r="M2" s="445"/>
      <c r="N2" s="445"/>
      <c r="P2" s="445"/>
      <c r="Q2" s="445"/>
      <c r="R2" s="445"/>
      <c r="S2" s="445"/>
      <c r="T2" s="445"/>
      <c r="U2" s="445"/>
      <c r="W2" s="445"/>
      <c r="X2" s="445"/>
      <c r="Y2" s="445"/>
      <c r="Z2" s="445"/>
      <c r="AB2" s="445"/>
      <c r="AC2" s="445"/>
      <c r="AD2" s="445"/>
      <c r="AE2" s="445"/>
      <c r="AF2" s="445"/>
    </row>
    <row r="3" spans="1:32">
      <c r="A3" s="446"/>
      <c r="B3" s="446"/>
      <c r="D3" s="445"/>
      <c r="E3" s="445"/>
      <c r="F3" s="445"/>
      <c r="G3" s="445"/>
      <c r="H3" s="445"/>
      <c r="J3" s="445"/>
      <c r="K3" s="445"/>
      <c r="L3" s="445"/>
      <c r="M3" s="445"/>
      <c r="N3" s="445"/>
      <c r="P3" s="445"/>
      <c r="Q3" s="445"/>
      <c r="R3" s="445"/>
      <c r="S3" s="445"/>
      <c r="T3" s="445"/>
      <c r="U3" s="445"/>
      <c r="W3" s="445"/>
      <c r="X3" s="445"/>
      <c r="Y3" s="445"/>
      <c r="Z3" s="445"/>
      <c r="AB3" s="445"/>
      <c r="AC3" s="445"/>
      <c r="AD3" s="445"/>
      <c r="AE3" s="445"/>
      <c r="AF3" s="445"/>
    </row>
    <row r="4" spans="1:32">
      <c r="A4" s="446"/>
      <c r="B4" s="446"/>
      <c r="D4" s="445"/>
      <c r="E4" s="445"/>
      <c r="F4" s="445"/>
      <c r="G4" s="445"/>
      <c r="H4" s="445"/>
      <c r="J4" s="445"/>
      <c r="K4" s="445"/>
      <c r="L4" s="445"/>
      <c r="M4" s="445"/>
      <c r="N4" s="445"/>
      <c r="P4" s="445"/>
      <c r="Q4" s="445"/>
      <c r="R4" s="445"/>
      <c r="S4" s="445"/>
      <c r="T4" s="445"/>
      <c r="U4" s="445"/>
      <c r="W4" s="445"/>
      <c r="X4" s="445"/>
      <c r="Y4" s="445"/>
      <c r="Z4" s="445"/>
      <c r="AB4" s="445"/>
      <c r="AC4" s="445"/>
      <c r="AD4" s="445"/>
      <c r="AE4" s="445"/>
      <c r="AF4" s="445"/>
    </row>
    <row r="5" spans="1:32" s="218" customFormat="1" ht="12.75">
      <c r="A5" s="223"/>
      <c r="B5" s="224"/>
      <c r="D5" s="225"/>
      <c r="E5" s="226"/>
      <c r="F5" s="226"/>
      <c r="G5" s="226"/>
      <c r="H5" s="227"/>
      <c r="J5" s="223"/>
      <c r="K5" s="228"/>
      <c r="L5" s="228"/>
      <c r="M5" s="228"/>
      <c r="N5" s="224"/>
      <c r="P5" s="223"/>
      <c r="Q5" s="228"/>
      <c r="R5" s="228"/>
      <c r="S5" s="228"/>
      <c r="T5" s="228"/>
      <c r="U5" s="224"/>
      <c r="W5" s="223"/>
      <c r="X5" s="228"/>
      <c r="Y5" s="228"/>
      <c r="Z5" s="224"/>
      <c r="AB5" s="223"/>
      <c r="AC5" s="228"/>
      <c r="AD5" s="228"/>
      <c r="AE5" s="228"/>
      <c r="AF5" s="224"/>
    </row>
    <row r="6" spans="1:32" s="218" customFormat="1" ht="25.5">
      <c r="A6" s="229" t="s">
        <v>638</v>
      </c>
      <c r="B6" s="230" t="s">
        <v>639</v>
      </c>
      <c r="D6" s="231" t="s">
        <v>640</v>
      </c>
      <c r="E6" s="232" t="s">
        <v>396</v>
      </c>
      <c r="F6" s="233"/>
      <c r="G6" s="234" t="s">
        <v>640</v>
      </c>
      <c r="H6" s="235" t="s">
        <v>396</v>
      </c>
      <c r="J6" s="236" t="s">
        <v>641</v>
      </c>
      <c r="K6" s="237" t="s">
        <v>161</v>
      </c>
      <c r="L6" s="238"/>
      <c r="M6" s="237" t="s">
        <v>641</v>
      </c>
      <c r="N6" s="239" t="s">
        <v>238</v>
      </c>
      <c r="P6" s="231" t="s">
        <v>642</v>
      </c>
      <c r="Q6" s="234" t="s">
        <v>643</v>
      </c>
      <c r="R6" s="233"/>
      <c r="S6" s="237" t="s">
        <v>426</v>
      </c>
      <c r="T6" s="237" t="s">
        <v>76</v>
      </c>
      <c r="U6" s="239" t="s">
        <v>403</v>
      </c>
      <c r="W6" s="229" t="s">
        <v>93</v>
      </c>
      <c r="X6" s="237" t="s">
        <v>644</v>
      </c>
      <c r="Y6" s="240" t="s">
        <v>645</v>
      </c>
      <c r="Z6" s="230"/>
      <c r="AB6" s="241" t="s">
        <v>93</v>
      </c>
      <c r="AC6" s="242" t="s">
        <v>185</v>
      </c>
      <c r="AD6" s="242" t="s">
        <v>155</v>
      </c>
      <c r="AE6" s="242" t="s">
        <v>186</v>
      </c>
      <c r="AF6" s="243" t="s">
        <v>219</v>
      </c>
    </row>
    <row r="7" spans="1:32" s="218" customFormat="1" ht="25.5">
      <c r="A7" s="244" t="s">
        <v>646</v>
      </c>
      <c r="B7" s="230" t="s">
        <v>728</v>
      </c>
      <c r="D7" s="246" t="s">
        <v>128</v>
      </c>
      <c r="E7" s="215" t="s">
        <v>129</v>
      </c>
      <c r="F7" s="233"/>
      <c r="G7" s="237" t="s">
        <v>128</v>
      </c>
      <c r="H7" s="239" t="s">
        <v>129</v>
      </c>
      <c r="J7" s="247" t="s">
        <v>391</v>
      </c>
      <c r="K7" s="248">
        <f>SUM(K8:K15)</f>
        <v>0.31</v>
      </c>
      <c r="L7" s="249"/>
      <c r="M7" s="250" t="s">
        <v>391</v>
      </c>
      <c r="N7" s="251">
        <f>SUM(N8:N15)</f>
        <v>0.31</v>
      </c>
      <c r="P7" s="252" t="s">
        <v>175</v>
      </c>
      <c r="Q7" s="253">
        <v>0.56240000000000001</v>
      </c>
      <c r="R7" s="233"/>
      <c r="S7" s="254" t="s">
        <v>405</v>
      </c>
      <c r="T7" s="233" t="s">
        <v>22</v>
      </c>
      <c r="U7" s="255">
        <f>(1+1/3)/12</f>
        <v>0.1111111111111111</v>
      </c>
      <c r="W7" s="229">
        <v>1</v>
      </c>
      <c r="X7" s="237" t="s">
        <v>537</v>
      </c>
      <c r="Y7" s="256">
        <v>25</v>
      </c>
      <c r="Z7" s="230"/>
      <c r="AB7" s="257">
        <v>1</v>
      </c>
      <c r="AC7" s="258" t="s">
        <v>647</v>
      </c>
      <c r="AD7" s="215" t="s">
        <v>648</v>
      </c>
      <c r="AE7" s="215">
        <v>226700</v>
      </c>
      <c r="AF7" s="259">
        <v>6.5</v>
      </c>
    </row>
    <row r="8" spans="1:32" s="218" customFormat="1" ht="25.5">
      <c r="A8" s="244" t="s">
        <v>649</v>
      </c>
      <c r="B8" s="230" t="s">
        <v>729</v>
      </c>
      <c r="D8" s="246" t="s">
        <v>120</v>
      </c>
      <c r="E8" s="260">
        <v>12</v>
      </c>
      <c r="F8" s="233"/>
      <c r="G8" s="237" t="s">
        <v>120</v>
      </c>
      <c r="H8" s="239">
        <v>12</v>
      </c>
      <c r="J8" s="261" t="s">
        <v>86</v>
      </c>
      <c r="K8" s="262">
        <v>0.2</v>
      </c>
      <c r="L8" s="249"/>
      <c r="M8" s="233" t="s">
        <v>86</v>
      </c>
      <c r="N8" s="255">
        <v>0.2</v>
      </c>
      <c r="P8" s="252" t="s">
        <v>176</v>
      </c>
      <c r="Q8" s="253">
        <v>2.3099999999999999E-2</v>
      </c>
      <c r="R8" s="233"/>
      <c r="S8" s="254" t="s">
        <v>406</v>
      </c>
      <c r="T8" s="233" t="s">
        <v>407</v>
      </c>
      <c r="U8" s="255">
        <v>1</v>
      </c>
      <c r="W8" s="229">
        <v>2</v>
      </c>
      <c r="X8" s="237" t="s">
        <v>541</v>
      </c>
      <c r="Y8" s="256">
        <v>30</v>
      </c>
      <c r="Z8" s="230"/>
      <c r="AB8" s="257">
        <v>2</v>
      </c>
      <c r="AC8" s="258" t="s">
        <v>303</v>
      </c>
      <c r="AD8" s="215" t="s">
        <v>648</v>
      </c>
      <c r="AE8" s="215">
        <v>441577</v>
      </c>
      <c r="AF8" s="259">
        <v>1.758</v>
      </c>
    </row>
    <row r="9" spans="1:32" s="218" customFormat="1" ht="25.5">
      <c r="A9" s="244" t="s">
        <v>650</v>
      </c>
      <c r="B9" s="230" t="s">
        <v>730</v>
      </c>
      <c r="D9" s="246" t="s">
        <v>126</v>
      </c>
      <c r="E9" s="260" t="s">
        <v>449</v>
      </c>
      <c r="F9" s="233"/>
      <c r="G9" s="237" t="s">
        <v>126</v>
      </c>
      <c r="H9" s="239" t="s">
        <v>449</v>
      </c>
      <c r="J9" s="261" t="s">
        <v>87</v>
      </c>
      <c r="K9" s="262">
        <v>0</v>
      </c>
      <c r="L9" s="249"/>
      <c r="M9" s="233" t="s">
        <v>87</v>
      </c>
      <c r="N9" s="255">
        <v>0</v>
      </c>
      <c r="P9" s="252" t="s">
        <v>177</v>
      </c>
      <c r="Q9" s="253">
        <v>0.41449999999999998</v>
      </c>
      <c r="R9" s="233"/>
      <c r="S9" s="254" t="s">
        <v>408</v>
      </c>
      <c r="T9" s="233" t="s">
        <v>409</v>
      </c>
      <c r="U9" s="255">
        <v>1.2200000000000001E-2</v>
      </c>
      <c r="W9" s="229">
        <v>3</v>
      </c>
      <c r="X9" s="237" t="s">
        <v>540</v>
      </c>
      <c r="Y9" s="256">
        <v>20</v>
      </c>
      <c r="Z9" s="230"/>
      <c r="AB9" s="257">
        <v>3</v>
      </c>
      <c r="AC9" s="258" t="s">
        <v>304</v>
      </c>
      <c r="AD9" s="215" t="s">
        <v>155</v>
      </c>
      <c r="AE9" s="215">
        <v>269943</v>
      </c>
      <c r="AF9" s="259">
        <v>2.25</v>
      </c>
    </row>
    <row r="10" spans="1:32" s="218" customFormat="1" ht="25.5">
      <c r="A10" s="244" t="s">
        <v>651</v>
      </c>
      <c r="B10" s="230" t="s">
        <v>731</v>
      </c>
      <c r="D10" s="246" t="s">
        <v>127</v>
      </c>
      <c r="E10" s="260" t="s">
        <v>148</v>
      </c>
      <c r="F10" s="233"/>
      <c r="G10" s="237" t="s">
        <v>127</v>
      </c>
      <c r="H10" s="239" t="s">
        <v>393</v>
      </c>
      <c r="J10" s="261" t="s">
        <v>88</v>
      </c>
      <c r="K10" s="262">
        <v>0.03</v>
      </c>
      <c r="L10" s="249"/>
      <c r="M10" s="233" t="s">
        <v>88</v>
      </c>
      <c r="N10" s="255">
        <v>0.03</v>
      </c>
      <c r="P10" s="252" t="s">
        <v>389</v>
      </c>
      <c r="Q10" s="263">
        <f>SUBTOTAL(109,Tabela1551[Percentuais (%)])</f>
        <v>1</v>
      </c>
      <c r="R10" s="233"/>
      <c r="S10" s="254" t="s">
        <v>410</v>
      </c>
      <c r="T10" s="233" t="s">
        <v>411</v>
      </c>
      <c r="U10" s="255">
        <f>154800/34808000</f>
        <v>4.4472535049413925E-3</v>
      </c>
      <c r="W10" s="229">
        <v>4</v>
      </c>
      <c r="X10" s="237" t="s">
        <v>538</v>
      </c>
      <c r="Y10" s="256">
        <v>12</v>
      </c>
      <c r="Z10" s="230"/>
      <c r="AB10" s="257">
        <v>4</v>
      </c>
      <c r="AC10" s="258" t="s">
        <v>652</v>
      </c>
      <c r="AD10" s="215" t="s">
        <v>653</v>
      </c>
      <c r="AE10" s="215">
        <v>452508</v>
      </c>
      <c r="AF10" s="259">
        <v>12</v>
      </c>
    </row>
    <row r="11" spans="1:32" s="218" customFormat="1" ht="51">
      <c r="A11" s="244" t="s">
        <v>654</v>
      </c>
      <c r="B11" s="230" t="s">
        <v>727</v>
      </c>
      <c r="D11" s="264" t="s">
        <v>119</v>
      </c>
      <c r="E11" s="260" t="s">
        <v>726</v>
      </c>
      <c r="F11" s="233"/>
      <c r="G11" s="237" t="s">
        <v>119</v>
      </c>
      <c r="H11" s="239" t="s">
        <v>726</v>
      </c>
      <c r="J11" s="261" t="s">
        <v>89</v>
      </c>
      <c r="K11" s="262">
        <v>0</v>
      </c>
      <c r="L11" s="249"/>
      <c r="M11" s="233" t="s">
        <v>89</v>
      </c>
      <c r="N11" s="255">
        <v>0</v>
      </c>
      <c r="P11" s="261"/>
      <c r="Q11" s="233"/>
      <c r="R11" s="233"/>
      <c r="S11" s="254" t="s">
        <v>412</v>
      </c>
      <c r="T11" s="233" t="s">
        <v>413</v>
      </c>
      <c r="U11" s="255">
        <f>13.54%*1.416%*36.8%</f>
        <v>7.0555315199999987E-4</v>
      </c>
      <c r="W11" s="229">
        <v>5</v>
      </c>
      <c r="X11" s="237" t="s">
        <v>147</v>
      </c>
      <c r="Y11" s="256">
        <v>6</v>
      </c>
      <c r="Z11" s="230"/>
      <c r="AB11" s="257">
        <v>5</v>
      </c>
      <c r="AC11" s="258" t="s">
        <v>472</v>
      </c>
      <c r="AD11" s="215" t="s">
        <v>155</v>
      </c>
      <c r="AE11" s="215">
        <v>401337</v>
      </c>
      <c r="AF11" s="259">
        <v>15</v>
      </c>
    </row>
    <row r="12" spans="1:32" s="218" customFormat="1" ht="25.5">
      <c r="A12" s="244" t="s">
        <v>655</v>
      </c>
      <c r="B12" s="499">
        <v>44624</v>
      </c>
      <c r="D12" s="246" t="s">
        <v>253</v>
      </c>
      <c r="E12" s="265">
        <v>44562</v>
      </c>
      <c r="F12" s="233"/>
      <c r="G12" s="237" t="s">
        <v>253</v>
      </c>
      <c r="H12" s="266">
        <v>44562</v>
      </c>
      <c r="J12" s="261" t="s">
        <v>90</v>
      </c>
      <c r="K12" s="262">
        <v>0</v>
      </c>
      <c r="L12" s="249"/>
      <c r="M12" s="233" t="s">
        <v>90</v>
      </c>
      <c r="N12" s="255">
        <v>0</v>
      </c>
      <c r="P12" s="261"/>
      <c r="Q12" s="233"/>
      <c r="R12" s="233"/>
      <c r="S12" s="254" t="s">
        <v>414</v>
      </c>
      <c r="T12" s="233" t="s">
        <v>415</v>
      </c>
      <c r="U12" s="255">
        <v>1</v>
      </c>
      <c r="W12" s="229">
        <v>6</v>
      </c>
      <c r="X12" s="237" t="s">
        <v>146</v>
      </c>
      <c r="Y12" s="256">
        <v>6</v>
      </c>
      <c r="Z12" s="230"/>
      <c r="AB12" s="257">
        <v>6</v>
      </c>
      <c r="AC12" s="258" t="s">
        <v>473</v>
      </c>
      <c r="AD12" s="215" t="s">
        <v>196</v>
      </c>
      <c r="AE12" s="215">
        <v>449257</v>
      </c>
      <c r="AF12" s="259">
        <v>15</v>
      </c>
    </row>
    <row r="13" spans="1:32" s="218" customFormat="1" ht="12.75">
      <c r="A13" s="244" t="s">
        <v>656</v>
      </c>
      <c r="B13" s="500">
        <v>44562</v>
      </c>
      <c r="D13" s="246" t="s">
        <v>121</v>
      </c>
      <c r="E13" s="260" t="s">
        <v>122</v>
      </c>
      <c r="F13" s="233"/>
      <c r="G13" s="237" t="s">
        <v>121</v>
      </c>
      <c r="H13" s="239" t="s">
        <v>122</v>
      </c>
      <c r="J13" s="261" t="s">
        <v>7</v>
      </c>
      <c r="K13" s="262">
        <v>0</v>
      </c>
      <c r="L13" s="249"/>
      <c r="M13" s="233" t="s">
        <v>7</v>
      </c>
      <c r="N13" s="255">
        <v>0</v>
      </c>
      <c r="P13" s="261"/>
      <c r="Q13" s="233"/>
      <c r="R13" s="233"/>
      <c r="S13" s="254" t="s">
        <v>414</v>
      </c>
      <c r="T13" s="233" t="s">
        <v>416</v>
      </c>
      <c r="U13" s="255">
        <v>0.13439999999999999</v>
      </c>
      <c r="W13" s="229"/>
      <c r="X13" s="240" t="s">
        <v>143</v>
      </c>
      <c r="Y13" s="256">
        <f>SUBTOTAL(109,Y7:Y12)</f>
        <v>99</v>
      </c>
      <c r="Z13" s="230"/>
      <c r="AB13" s="257">
        <v>7</v>
      </c>
      <c r="AC13" s="258" t="s">
        <v>474</v>
      </c>
      <c r="AD13" s="215" t="s">
        <v>532</v>
      </c>
      <c r="AE13" s="215">
        <v>350872</v>
      </c>
      <c r="AF13" s="259">
        <v>15</v>
      </c>
    </row>
    <row r="14" spans="1:32" s="218" customFormat="1" ht="25.5">
      <c r="A14" s="244" t="s">
        <v>657</v>
      </c>
      <c r="B14" s="230" t="s">
        <v>726</v>
      </c>
      <c r="D14" s="246" t="s">
        <v>123</v>
      </c>
      <c r="E14" s="267">
        <v>22</v>
      </c>
      <c r="F14" s="233"/>
      <c r="G14" s="237" t="s">
        <v>123</v>
      </c>
      <c r="H14" s="239">
        <v>22</v>
      </c>
      <c r="J14" s="261" t="s">
        <v>5</v>
      </c>
      <c r="K14" s="262">
        <v>0</v>
      </c>
      <c r="L14" s="249"/>
      <c r="M14" s="233" t="s">
        <v>5</v>
      </c>
      <c r="N14" s="255">
        <v>0</v>
      </c>
      <c r="P14" s="261"/>
      <c r="Q14" s="233"/>
      <c r="R14" s="233"/>
      <c r="S14" s="254" t="s">
        <v>414</v>
      </c>
      <c r="T14" s="233" t="s">
        <v>417</v>
      </c>
      <c r="U14" s="255">
        <v>3.0499999999999999E-2</v>
      </c>
      <c r="W14" s="229"/>
      <c r="X14" s="240"/>
      <c r="Y14" s="240"/>
      <c r="Z14" s="230"/>
      <c r="AB14" s="257">
        <v>8</v>
      </c>
      <c r="AC14" s="258" t="s">
        <v>658</v>
      </c>
      <c r="AD14" s="215" t="s">
        <v>196</v>
      </c>
      <c r="AE14" s="215">
        <v>351129</v>
      </c>
      <c r="AF14" s="259">
        <v>15</v>
      </c>
    </row>
    <row r="15" spans="1:32" s="218" customFormat="1" ht="38.25">
      <c r="A15" s="244" t="s">
        <v>659</v>
      </c>
      <c r="B15" s="230">
        <v>12</v>
      </c>
      <c r="D15" s="246" t="s">
        <v>130</v>
      </c>
      <c r="E15" s="260">
        <v>220</v>
      </c>
      <c r="F15" s="233"/>
      <c r="G15" s="237" t="s">
        <v>130</v>
      </c>
      <c r="H15" s="239">
        <v>220</v>
      </c>
      <c r="J15" s="261" t="s">
        <v>6</v>
      </c>
      <c r="K15" s="262">
        <v>0.08</v>
      </c>
      <c r="L15" s="249"/>
      <c r="M15" s="233" t="s">
        <v>6</v>
      </c>
      <c r="N15" s="255">
        <v>0.08</v>
      </c>
      <c r="P15" s="261"/>
      <c r="Q15" s="233"/>
      <c r="R15" s="233"/>
      <c r="S15" s="254" t="s">
        <v>414</v>
      </c>
      <c r="T15" s="233" t="s">
        <v>418</v>
      </c>
      <c r="U15" s="255">
        <v>1.18E-2</v>
      </c>
      <c r="W15" s="236" t="s">
        <v>93</v>
      </c>
      <c r="X15" s="237" t="s">
        <v>167</v>
      </c>
      <c r="Y15" s="237" t="s">
        <v>186</v>
      </c>
      <c r="Z15" s="239" t="s">
        <v>158</v>
      </c>
      <c r="AB15" s="257">
        <v>9</v>
      </c>
      <c r="AC15" s="258" t="s">
        <v>660</v>
      </c>
      <c r="AD15" s="215" t="s">
        <v>196</v>
      </c>
      <c r="AE15" s="215">
        <v>355838</v>
      </c>
      <c r="AF15" s="259">
        <v>15</v>
      </c>
    </row>
    <row r="16" spans="1:32" s="218" customFormat="1" ht="12.75">
      <c r="A16" s="268"/>
      <c r="B16" s="269"/>
      <c r="D16" s="246" t="s">
        <v>50</v>
      </c>
      <c r="E16" s="270">
        <v>1113</v>
      </c>
      <c r="F16" s="233"/>
      <c r="G16" s="237" t="s">
        <v>50</v>
      </c>
      <c r="H16" s="271">
        <v>1355.05</v>
      </c>
      <c r="J16" s="272" t="s">
        <v>450</v>
      </c>
      <c r="K16" s="273">
        <f>SUM(K17:K19)</f>
        <v>0.12959999999999999</v>
      </c>
      <c r="L16" s="249"/>
      <c r="M16" s="274" t="s">
        <v>450</v>
      </c>
      <c r="N16" s="275">
        <f>SUM(N17:N19)</f>
        <v>0.12959999999999999</v>
      </c>
      <c r="P16" s="261"/>
      <c r="Q16" s="233"/>
      <c r="R16" s="233"/>
      <c r="S16" s="254" t="s">
        <v>414</v>
      </c>
      <c r="T16" s="233" t="s">
        <v>419</v>
      </c>
      <c r="U16" s="255">
        <v>0.02</v>
      </c>
      <c r="W16" s="229"/>
      <c r="X16" s="237" t="s">
        <v>154</v>
      </c>
      <c r="Y16" s="240">
        <v>302248</v>
      </c>
      <c r="Z16" s="276">
        <v>240</v>
      </c>
      <c r="AB16" s="257">
        <v>10</v>
      </c>
      <c r="AC16" s="258" t="s">
        <v>475</v>
      </c>
      <c r="AD16" s="215" t="s">
        <v>196</v>
      </c>
      <c r="AE16" s="215">
        <v>292586</v>
      </c>
      <c r="AF16" s="259">
        <v>15</v>
      </c>
    </row>
    <row r="17" spans="4:32" s="218" customFormat="1" ht="76.5">
      <c r="D17" s="246" t="s">
        <v>140</v>
      </c>
      <c r="E17" s="277">
        <v>0.5</v>
      </c>
      <c r="F17" s="233"/>
      <c r="G17" s="237" t="s">
        <v>140</v>
      </c>
      <c r="H17" s="278">
        <v>0.5</v>
      </c>
      <c r="J17" s="247" t="s">
        <v>12</v>
      </c>
      <c r="K17" s="262">
        <v>0.05</v>
      </c>
      <c r="L17" s="249"/>
      <c r="M17" s="250" t="s">
        <v>12</v>
      </c>
      <c r="N17" s="255">
        <v>0.05</v>
      </c>
      <c r="P17" s="261"/>
      <c r="Q17" s="233"/>
      <c r="R17" s="233"/>
      <c r="S17" s="254" t="s">
        <v>414</v>
      </c>
      <c r="T17" s="233" t="s">
        <v>420</v>
      </c>
      <c r="U17" s="255">
        <v>4.0000000000000001E-3</v>
      </c>
      <c r="W17" s="229"/>
      <c r="X17" s="237" t="s">
        <v>460</v>
      </c>
      <c r="Y17" s="240">
        <v>225280</v>
      </c>
      <c r="Z17" s="276">
        <v>350</v>
      </c>
      <c r="AB17" s="257">
        <v>11</v>
      </c>
      <c r="AC17" s="258" t="s">
        <v>661</v>
      </c>
      <c r="AD17" s="215" t="s">
        <v>155</v>
      </c>
      <c r="AE17" s="215">
        <v>460643</v>
      </c>
      <c r="AF17" s="259">
        <v>35</v>
      </c>
    </row>
    <row r="18" spans="4:32" s="218" customFormat="1" ht="25.5">
      <c r="D18" s="246" t="s">
        <v>140</v>
      </c>
      <c r="E18" s="277">
        <v>0.6</v>
      </c>
      <c r="F18" s="233"/>
      <c r="G18" s="237" t="s">
        <v>140</v>
      </c>
      <c r="H18" s="278">
        <v>0.6</v>
      </c>
      <c r="J18" s="247" t="s">
        <v>13</v>
      </c>
      <c r="K18" s="262">
        <v>0.05</v>
      </c>
      <c r="L18" s="249"/>
      <c r="M18" s="250" t="s">
        <v>13</v>
      </c>
      <c r="N18" s="255">
        <v>0.05</v>
      </c>
      <c r="P18" s="261"/>
      <c r="Q18" s="233"/>
      <c r="R18" s="233"/>
      <c r="S18" s="254" t="s">
        <v>414</v>
      </c>
      <c r="T18" s="233" t="s">
        <v>421</v>
      </c>
      <c r="U18" s="255">
        <v>1.6000000000000001E-3</v>
      </c>
      <c r="W18" s="229"/>
      <c r="X18" s="237" t="s">
        <v>461</v>
      </c>
      <c r="Y18" s="240">
        <v>30163</v>
      </c>
      <c r="Z18" s="276">
        <v>1200</v>
      </c>
      <c r="AB18" s="257">
        <v>12</v>
      </c>
      <c r="AC18" s="258" t="s">
        <v>536</v>
      </c>
      <c r="AD18" s="215" t="s">
        <v>196</v>
      </c>
      <c r="AE18" s="215">
        <v>420084</v>
      </c>
      <c r="AF18" s="259">
        <v>15</v>
      </c>
    </row>
    <row r="19" spans="4:32" s="218" customFormat="1" ht="25.5">
      <c r="D19" s="246" t="s">
        <v>140</v>
      </c>
      <c r="E19" s="277">
        <v>1</v>
      </c>
      <c r="F19" s="233"/>
      <c r="G19" s="237" t="s">
        <v>140</v>
      </c>
      <c r="H19" s="278">
        <v>1</v>
      </c>
      <c r="J19" s="247" t="s">
        <v>14</v>
      </c>
      <c r="K19" s="248">
        <f>SUM(K20:K22)</f>
        <v>2.9600000000000001E-2</v>
      </c>
      <c r="L19" s="249"/>
      <c r="M19" s="250" t="s">
        <v>14</v>
      </c>
      <c r="N19" s="251">
        <f>SUM(N20:N22)</f>
        <v>2.9600000000000001E-2</v>
      </c>
      <c r="P19" s="261"/>
      <c r="Q19" s="233"/>
      <c r="R19" s="233"/>
      <c r="S19" s="258"/>
      <c r="T19" s="270"/>
      <c r="U19" s="245"/>
      <c r="W19" s="229"/>
      <c r="X19" s="237" t="s">
        <v>462</v>
      </c>
      <c r="Y19" s="240">
        <v>267027</v>
      </c>
      <c r="Z19" s="276">
        <v>350</v>
      </c>
      <c r="AB19" s="257">
        <v>14</v>
      </c>
      <c r="AC19" s="258" t="s">
        <v>218</v>
      </c>
      <c r="AD19" s="215" t="s">
        <v>662</v>
      </c>
      <c r="AE19" s="215">
        <v>472191</v>
      </c>
      <c r="AF19" s="259">
        <v>12</v>
      </c>
    </row>
    <row r="20" spans="4:32" s="218" customFormat="1" ht="12.75">
      <c r="D20" s="246" t="s">
        <v>64</v>
      </c>
      <c r="E20" s="277">
        <v>0.3</v>
      </c>
      <c r="F20" s="233"/>
      <c r="G20" s="237" t="s">
        <v>64</v>
      </c>
      <c r="H20" s="278">
        <v>0.3</v>
      </c>
      <c r="J20" s="261" t="s">
        <v>392</v>
      </c>
      <c r="K20" s="262">
        <v>1.6999999999999999E-3</v>
      </c>
      <c r="L20" s="249"/>
      <c r="M20" s="233" t="s">
        <v>392</v>
      </c>
      <c r="N20" s="255">
        <v>1.6999999999999999E-3</v>
      </c>
      <c r="P20" s="261"/>
      <c r="Q20" s="233"/>
      <c r="R20" s="233"/>
      <c r="S20" s="258"/>
      <c r="T20" s="277"/>
      <c r="U20" s="245"/>
      <c r="W20" s="229"/>
      <c r="X20" s="237" t="s">
        <v>463</v>
      </c>
      <c r="Y20" s="240">
        <v>231351</v>
      </c>
      <c r="Z20" s="276">
        <v>250</v>
      </c>
      <c r="AB20" s="257">
        <v>15</v>
      </c>
      <c r="AC20" s="258" t="s">
        <v>476</v>
      </c>
      <c r="AD20" s="215" t="s">
        <v>533</v>
      </c>
      <c r="AE20" s="215">
        <v>388864</v>
      </c>
      <c r="AF20" s="259">
        <v>8</v>
      </c>
    </row>
    <row r="21" spans="4:32" s="218" customFormat="1" ht="12.75">
      <c r="D21" s="246" t="s">
        <v>65</v>
      </c>
      <c r="E21" s="277">
        <v>0.1</v>
      </c>
      <c r="F21" s="233"/>
      <c r="G21" s="237" t="s">
        <v>65</v>
      </c>
      <c r="H21" s="278">
        <v>0.1</v>
      </c>
      <c r="J21" s="261" t="s">
        <v>16</v>
      </c>
      <c r="K21" s="262">
        <v>7.9000000000000008E-3</v>
      </c>
      <c r="L21" s="249"/>
      <c r="M21" s="233" t="s">
        <v>16</v>
      </c>
      <c r="N21" s="255">
        <v>7.9000000000000008E-3</v>
      </c>
      <c r="P21" s="261"/>
      <c r="Q21" s="233"/>
      <c r="R21" s="233"/>
      <c r="S21" s="258"/>
      <c r="T21" s="277"/>
      <c r="U21" s="245"/>
      <c r="W21" s="229"/>
      <c r="X21" s="237" t="s">
        <v>464</v>
      </c>
      <c r="Y21" s="240">
        <v>298356</v>
      </c>
      <c r="Z21" s="276">
        <v>950</v>
      </c>
      <c r="AB21" s="257">
        <v>16</v>
      </c>
      <c r="AC21" s="258" t="s">
        <v>663</v>
      </c>
      <c r="AD21" s="215" t="s">
        <v>155</v>
      </c>
      <c r="AE21" s="215">
        <v>241711</v>
      </c>
      <c r="AF21" s="259">
        <v>8</v>
      </c>
    </row>
    <row r="22" spans="4:32" s="218" customFormat="1" ht="38.25">
      <c r="D22" s="246" t="s">
        <v>451</v>
      </c>
      <c r="E22" s="270">
        <v>3.8</v>
      </c>
      <c r="F22" s="233"/>
      <c r="G22" s="237" t="s">
        <v>452</v>
      </c>
      <c r="H22" s="271">
        <v>3.8</v>
      </c>
      <c r="J22" s="261" t="s">
        <v>17</v>
      </c>
      <c r="K22" s="262">
        <v>0.02</v>
      </c>
      <c r="L22" s="249"/>
      <c r="M22" s="233" t="s">
        <v>17</v>
      </c>
      <c r="N22" s="255">
        <v>0.02</v>
      </c>
      <c r="P22" s="261"/>
      <c r="Q22" s="233"/>
      <c r="R22" s="233"/>
      <c r="S22" s="258"/>
      <c r="T22" s="277"/>
      <c r="U22" s="245"/>
      <c r="W22" s="229"/>
      <c r="X22" s="237" t="s">
        <v>465</v>
      </c>
      <c r="Y22" s="240">
        <v>150245</v>
      </c>
      <c r="Z22" s="276">
        <v>600</v>
      </c>
      <c r="AB22" s="257">
        <v>17</v>
      </c>
      <c r="AC22" s="258" t="s">
        <v>195</v>
      </c>
      <c r="AD22" s="215" t="s">
        <v>196</v>
      </c>
      <c r="AE22" s="215">
        <v>293351</v>
      </c>
      <c r="AF22" s="259">
        <v>12</v>
      </c>
    </row>
    <row r="23" spans="4:32" s="218" customFormat="1" ht="12.75">
      <c r="D23" s="246" t="s">
        <v>92</v>
      </c>
      <c r="E23" s="270">
        <v>14</v>
      </c>
      <c r="F23" s="233"/>
      <c r="G23" s="237" t="s">
        <v>92</v>
      </c>
      <c r="H23" s="271">
        <v>14</v>
      </c>
      <c r="J23" s="279" t="s">
        <v>448</v>
      </c>
      <c r="K23" s="280" t="s">
        <v>732</v>
      </c>
      <c r="L23" s="249"/>
      <c r="M23" s="281" t="s">
        <v>448</v>
      </c>
      <c r="N23" s="282" t="s">
        <v>732</v>
      </c>
      <c r="P23" s="261"/>
      <c r="Q23" s="233"/>
      <c r="R23" s="233"/>
      <c r="S23" s="258"/>
      <c r="T23" s="277"/>
      <c r="U23" s="245"/>
      <c r="W23" s="229"/>
      <c r="X23" s="237" t="s">
        <v>466</v>
      </c>
      <c r="Y23" s="240">
        <v>151039</v>
      </c>
      <c r="Z23" s="276">
        <v>12</v>
      </c>
      <c r="AB23" s="257">
        <v>18</v>
      </c>
      <c r="AC23" s="258" t="s">
        <v>197</v>
      </c>
      <c r="AD23" s="215" t="s">
        <v>664</v>
      </c>
      <c r="AE23" s="215">
        <v>331905</v>
      </c>
      <c r="AF23" s="259">
        <v>3.5</v>
      </c>
    </row>
    <row r="24" spans="4:32" s="218" customFormat="1" ht="25.5">
      <c r="D24" s="246" t="s">
        <v>96</v>
      </c>
      <c r="E24" s="270">
        <v>85</v>
      </c>
      <c r="F24" s="233"/>
      <c r="G24" s="237" t="s">
        <v>96</v>
      </c>
      <c r="H24" s="271">
        <v>85</v>
      </c>
      <c r="J24" s="268"/>
      <c r="K24" s="283"/>
      <c r="L24" s="283"/>
      <c r="M24" s="283"/>
      <c r="N24" s="269"/>
      <c r="P24" s="268"/>
      <c r="Q24" s="283"/>
      <c r="R24" s="283"/>
      <c r="S24" s="284"/>
      <c r="T24" s="285"/>
      <c r="U24" s="269"/>
      <c r="W24" s="229"/>
      <c r="X24" s="237" t="s">
        <v>467</v>
      </c>
      <c r="Y24" s="240">
        <v>347968</v>
      </c>
      <c r="Z24" s="276">
        <v>20</v>
      </c>
      <c r="AB24" s="257">
        <v>19</v>
      </c>
      <c r="AC24" s="258" t="s">
        <v>477</v>
      </c>
      <c r="AD24" s="215" t="s">
        <v>665</v>
      </c>
      <c r="AE24" s="215">
        <v>299607</v>
      </c>
      <c r="AF24" s="259">
        <v>1.5</v>
      </c>
    </row>
    <row r="25" spans="4:32" s="218" customFormat="1" ht="12.75">
      <c r="D25" s="246" t="s">
        <v>124</v>
      </c>
      <c r="E25" s="286">
        <v>2</v>
      </c>
      <c r="F25" s="233"/>
      <c r="G25" s="237" t="s">
        <v>124</v>
      </c>
      <c r="H25" s="239">
        <v>2</v>
      </c>
      <c r="S25" s="287"/>
      <c r="T25" s="288"/>
      <c r="W25" s="229"/>
      <c r="X25" s="237" t="s">
        <v>468</v>
      </c>
      <c r="Y25" s="240">
        <v>468666</v>
      </c>
      <c r="Z25" s="276">
        <v>350</v>
      </c>
      <c r="AB25" s="257">
        <v>20</v>
      </c>
      <c r="AC25" s="258" t="s">
        <v>666</v>
      </c>
      <c r="AD25" s="215" t="s">
        <v>665</v>
      </c>
      <c r="AE25" s="215">
        <v>449798</v>
      </c>
      <c r="AF25" s="259">
        <v>1.5</v>
      </c>
    </row>
    <row r="26" spans="4:32" s="218" customFormat="1" ht="12.75">
      <c r="D26" s="246" t="s">
        <v>397</v>
      </c>
      <c r="E26" s="277">
        <v>0.06</v>
      </c>
      <c r="F26" s="233"/>
      <c r="G26" s="258" t="s">
        <v>397</v>
      </c>
      <c r="H26" s="289">
        <v>0.06</v>
      </c>
      <c r="S26" s="287"/>
      <c r="T26" s="288"/>
      <c r="W26" s="229"/>
      <c r="X26" s="237" t="s">
        <v>469</v>
      </c>
      <c r="Y26" s="240">
        <v>321859</v>
      </c>
      <c r="Z26" s="276">
        <v>120</v>
      </c>
      <c r="AB26" s="257">
        <v>21</v>
      </c>
      <c r="AC26" s="258" t="s">
        <v>478</v>
      </c>
      <c r="AD26" s="215" t="s">
        <v>533</v>
      </c>
      <c r="AE26" s="215">
        <v>432428</v>
      </c>
      <c r="AF26" s="259">
        <v>2.5</v>
      </c>
    </row>
    <row r="27" spans="4:32" s="218" customFormat="1" ht="12.75">
      <c r="D27" s="246" t="s">
        <v>125</v>
      </c>
      <c r="E27" s="286">
        <v>1</v>
      </c>
      <c r="F27" s="233"/>
      <c r="G27" s="237" t="s">
        <v>125</v>
      </c>
      <c r="H27" s="239">
        <v>1</v>
      </c>
      <c r="S27" s="287"/>
      <c r="T27" s="288"/>
      <c r="W27" s="229"/>
      <c r="X27" s="237" t="s">
        <v>470</v>
      </c>
      <c r="Y27" s="240">
        <v>151031</v>
      </c>
      <c r="Z27" s="276">
        <v>1200</v>
      </c>
      <c r="AB27" s="257">
        <v>22</v>
      </c>
      <c r="AC27" s="258" t="s">
        <v>479</v>
      </c>
      <c r="AD27" s="215" t="s">
        <v>196</v>
      </c>
      <c r="AE27" s="215">
        <v>463157</v>
      </c>
      <c r="AF27" s="259">
        <v>9.5</v>
      </c>
    </row>
    <row r="28" spans="4:32" s="218" customFormat="1" ht="12.75">
      <c r="D28" s="246" t="s">
        <v>398</v>
      </c>
      <c r="E28" s="277">
        <v>0.1</v>
      </c>
      <c r="F28" s="233"/>
      <c r="G28" s="258" t="s">
        <v>398</v>
      </c>
      <c r="H28" s="289">
        <v>0.1</v>
      </c>
      <c r="S28" s="287"/>
      <c r="T28" s="290"/>
      <c r="W28" s="229"/>
      <c r="X28" s="237" t="s">
        <v>667</v>
      </c>
      <c r="Y28" s="240">
        <v>468625</v>
      </c>
      <c r="Z28" s="276">
        <v>75</v>
      </c>
      <c r="AB28" s="257">
        <v>23</v>
      </c>
      <c r="AC28" s="258" t="s">
        <v>480</v>
      </c>
      <c r="AD28" s="215" t="s">
        <v>155</v>
      </c>
      <c r="AE28" s="215">
        <v>40231</v>
      </c>
      <c r="AF28" s="259">
        <v>8</v>
      </c>
    </row>
    <row r="29" spans="4:32" s="218" customFormat="1" ht="12.75">
      <c r="D29" s="246" t="s">
        <v>251</v>
      </c>
      <c r="E29" s="270">
        <v>10</v>
      </c>
      <c r="F29" s="233"/>
      <c r="G29" s="237" t="s">
        <v>251</v>
      </c>
      <c r="H29" s="271">
        <v>10</v>
      </c>
      <c r="S29" s="287"/>
      <c r="T29" s="291"/>
      <c r="W29" s="229"/>
      <c r="X29" s="237" t="s">
        <v>436</v>
      </c>
      <c r="Y29" s="240">
        <v>0</v>
      </c>
      <c r="Z29" s="276">
        <v>0</v>
      </c>
      <c r="AB29" s="257">
        <v>24</v>
      </c>
      <c r="AC29" s="258" t="s">
        <v>481</v>
      </c>
      <c r="AD29" s="215" t="s">
        <v>155</v>
      </c>
      <c r="AE29" s="215">
        <v>441576</v>
      </c>
      <c r="AF29" s="259">
        <v>35</v>
      </c>
    </row>
    <row r="30" spans="4:32" s="218" customFormat="1" ht="12.75">
      <c r="D30" s="246" t="s">
        <v>252</v>
      </c>
      <c r="E30" s="270">
        <v>15</v>
      </c>
      <c r="F30" s="233"/>
      <c r="G30" s="237" t="s">
        <v>252</v>
      </c>
      <c r="H30" s="271">
        <v>15</v>
      </c>
      <c r="S30" s="287"/>
      <c r="T30" s="290"/>
      <c r="W30" s="229"/>
      <c r="X30" s="240"/>
      <c r="Y30" s="240"/>
      <c r="Z30" s="230"/>
      <c r="AB30" s="257">
        <v>25</v>
      </c>
      <c r="AC30" s="258" t="s">
        <v>482</v>
      </c>
      <c r="AD30" s="215" t="s">
        <v>155</v>
      </c>
      <c r="AE30" s="215">
        <v>441576</v>
      </c>
      <c r="AF30" s="259">
        <v>35</v>
      </c>
    </row>
    <row r="31" spans="4:32" s="218" customFormat="1" ht="12.75">
      <c r="D31" s="261"/>
      <c r="E31" s="233"/>
      <c r="F31" s="233"/>
      <c r="G31" s="233"/>
      <c r="H31" s="245"/>
      <c r="S31" s="287"/>
      <c r="T31" s="291"/>
      <c r="W31" s="292"/>
      <c r="X31" s="232"/>
      <c r="Y31" s="232"/>
      <c r="Z31" s="235"/>
      <c r="AB31" s="257">
        <v>26</v>
      </c>
      <c r="AC31" s="258" t="s">
        <v>483</v>
      </c>
      <c r="AD31" s="215" t="s">
        <v>155</v>
      </c>
      <c r="AE31" s="215">
        <v>404651</v>
      </c>
      <c r="AF31" s="259">
        <v>35</v>
      </c>
    </row>
    <row r="32" spans="4:32" s="218" customFormat="1" ht="12.75">
      <c r="D32" s="268"/>
      <c r="E32" s="283"/>
      <c r="F32" s="283"/>
      <c r="G32" s="283"/>
      <c r="H32" s="269"/>
      <c r="S32" s="287"/>
      <c r="T32" s="288"/>
      <c r="W32" s="236" t="s">
        <v>93</v>
      </c>
      <c r="X32" s="237" t="s">
        <v>156</v>
      </c>
      <c r="Y32" s="237" t="s">
        <v>186</v>
      </c>
      <c r="Z32" s="271" t="s">
        <v>101</v>
      </c>
      <c r="AB32" s="257">
        <v>27</v>
      </c>
      <c r="AC32" s="258" t="s">
        <v>668</v>
      </c>
      <c r="AD32" s="215" t="s">
        <v>155</v>
      </c>
      <c r="AE32" s="215">
        <v>441576</v>
      </c>
      <c r="AF32" s="259">
        <v>20</v>
      </c>
    </row>
    <row r="33" spans="19:32" s="218" customFormat="1" ht="38.25">
      <c r="S33" s="287"/>
      <c r="T33" s="288"/>
      <c r="W33" s="229">
        <v>1</v>
      </c>
      <c r="X33" s="237" t="s">
        <v>308</v>
      </c>
      <c r="Y33" s="240">
        <v>396476</v>
      </c>
      <c r="Z33" s="488">
        <v>16.5</v>
      </c>
      <c r="AB33" s="257">
        <v>28</v>
      </c>
      <c r="AC33" s="258" t="s">
        <v>198</v>
      </c>
      <c r="AD33" s="215" t="s">
        <v>155</v>
      </c>
      <c r="AE33" s="215">
        <v>446274</v>
      </c>
      <c r="AF33" s="259">
        <v>3.5</v>
      </c>
    </row>
    <row r="34" spans="19:32" s="218" customFormat="1" ht="12.75">
      <c r="W34" s="229">
        <v>2</v>
      </c>
      <c r="X34" s="237" t="s">
        <v>187</v>
      </c>
      <c r="Y34" s="240">
        <v>216081</v>
      </c>
      <c r="Z34" s="488">
        <v>16</v>
      </c>
      <c r="AB34" s="257">
        <v>29</v>
      </c>
      <c r="AC34" s="258" t="s">
        <v>199</v>
      </c>
      <c r="AD34" s="215" t="s">
        <v>155</v>
      </c>
      <c r="AE34" s="215">
        <v>331870</v>
      </c>
      <c r="AF34" s="259">
        <v>12</v>
      </c>
    </row>
    <row r="35" spans="19:32" s="218" customFormat="1" ht="12.75">
      <c r="W35" s="229">
        <v>3</v>
      </c>
      <c r="X35" s="237" t="s">
        <v>669</v>
      </c>
      <c r="Y35" s="240">
        <v>355563</v>
      </c>
      <c r="Z35" s="488">
        <v>14.5</v>
      </c>
      <c r="AB35" s="257">
        <v>30</v>
      </c>
      <c r="AC35" s="258" t="s">
        <v>484</v>
      </c>
      <c r="AD35" s="215" t="s">
        <v>155</v>
      </c>
      <c r="AE35" s="215">
        <v>30236</v>
      </c>
      <c r="AF35" s="259">
        <v>16</v>
      </c>
    </row>
    <row r="36" spans="19:32" s="218" customFormat="1" ht="12.75">
      <c r="W36" s="229">
        <v>4</v>
      </c>
      <c r="X36" s="237" t="s">
        <v>670</v>
      </c>
      <c r="Y36" s="240">
        <v>417993</v>
      </c>
      <c r="Z36" s="488">
        <v>12</v>
      </c>
      <c r="AB36" s="257">
        <v>31</v>
      </c>
      <c r="AC36" s="258" t="s">
        <v>485</v>
      </c>
      <c r="AD36" s="215" t="s">
        <v>155</v>
      </c>
      <c r="AE36" s="215">
        <v>419326</v>
      </c>
      <c r="AF36" s="259">
        <v>4</v>
      </c>
    </row>
    <row r="37" spans="19:32" s="218" customFormat="1" ht="12.75">
      <c r="W37" s="229">
        <v>5</v>
      </c>
      <c r="X37" s="237" t="s">
        <v>671</v>
      </c>
      <c r="Y37" s="240">
        <v>123242</v>
      </c>
      <c r="Z37" s="488">
        <v>230</v>
      </c>
      <c r="AB37" s="257">
        <v>32</v>
      </c>
      <c r="AC37" s="258" t="s">
        <v>486</v>
      </c>
      <c r="AD37" s="215" t="s">
        <v>155</v>
      </c>
      <c r="AE37" s="215">
        <v>422385</v>
      </c>
      <c r="AF37" s="259">
        <v>6</v>
      </c>
    </row>
    <row r="38" spans="19:32" s="218" customFormat="1" ht="12.75">
      <c r="W38" s="229">
        <v>6</v>
      </c>
      <c r="X38" s="237" t="s">
        <v>285</v>
      </c>
      <c r="Y38" s="240">
        <v>307875</v>
      </c>
      <c r="Z38" s="488">
        <v>90</v>
      </c>
      <c r="AB38" s="257">
        <v>33</v>
      </c>
      <c r="AC38" s="258" t="s">
        <v>487</v>
      </c>
      <c r="AD38" s="215" t="s">
        <v>155</v>
      </c>
      <c r="AE38" s="215">
        <v>428838</v>
      </c>
      <c r="AF38" s="259">
        <v>20</v>
      </c>
    </row>
    <row r="39" spans="19:32" s="218" customFormat="1" ht="12.75">
      <c r="W39" s="229">
        <v>7</v>
      </c>
      <c r="X39" s="237" t="s">
        <v>188</v>
      </c>
      <c r="Y39" s="240">
        <v>236909</v>
      </c>
      <c r="Z39" s="488">
        <v>12.5</v>
      </c>
      <c r="AB39" s="257">
        <v>34</v>
      </c>
      <c r="AC39" s="258" t="s">
        <v>200</v>
      </c>
      <c r="AD39" s="215" t="s">
        <v>155</v>
      </c>
      <c r="AE39" s="215">
        <v>299630</v>
      </c>
      <c r="AF39" s="259">
        <v>5</v>
      </c>
    </row>
    <row r="40" spans="19:32" s="218" customFormat="1" ht="25.5">
      <c r="W40" s="229">
        <v>8</v>
      </c>
      <c r="X40" s="237" t="s">
        <v>456</v>
      </c>
      <c r="Y40" s="240">
        <v>444084</v>
      </c>
      <c r="Z40" s="488">
        <v>16</v>
      </c>
      <c r="AB40" s="257">
        <v>35</v>
      </c>
      <c r="AC40" s="258" t="s">
        <v>488</v>
      </c>
      <c r="AD40" s="215" t="s">
        <v>155</v>
      </c>
      <c r="AE40" s="215">
        <v>272254</v>
      </c>
      <c r="AF40" s="259">
        <v>2.5</v>
      </c>
    </row>
    <row r="41" spans="19:32" s="218" customFormat="1" ht="12.75">
      <c r="W41" s="229">
        <v>9</v>
      </c>
      <c r="X41" s="237" t="s">
        <v>309</v>
      </c>
      <c r="Y41" s="240">
        <v>345502</v>
      </c>
      <c r="Z41" s="488">
        <v>45</v>
      </c>
      <c r="AB41" s="257">
        <v>36</v>
      </c>
      <c r="AC41" s="258" t="s">
        <v>489</v>
      </c>
      <c r="AD41" s="215" t="s">
        <v>155</v>
      </c>
      <c r="AE41" s="215">
        <v>405330</v>
      </c>
      <c r="AF41" s="259">
        <v>8</v>
      </c>
    </row>
    <row r="42" spans="19:32" s="218" customFormat="1" ht="25.5">
      <c r="W42" s="229">
        <v>10</v>
      </c>
      <c r="X42" s="237" t="s">
        <v>284</v>
      </c>
      <c r="Y42" s="240">
        <v>236336</v>
      </c>
      <c r="Z42" s="488">
        <v>9</v>
      </c>
      <c r="AB42" s="257">
        <v>37</v>
      </c>
      <c r="AC42" s="258" t="s">
        <v>490</v>
      </c>
      <c r="AD42" s="215" t="s">
        <v>155</v>
      </c>
      <c r="AE42" s="215">
        <v>259208</v>
      </c>
      <c r="AF42" s="259">
        <v>6.5</v>
      </c>
    </row>
    <row r="43" spans="19:32" s="218" customFormat="1" ht="25.5">
      <c r="W43" s="229">
        <v>11</v>
      </c>
      <c r="X43" s="237" t="s">
        <v>307</v>
      </c>
      <c r="Y43" s="240">
        <v>287999</v>
      </c>
      <c r="Z43" s="488">
        <v>9.5</v>
      </c>
      <c r="AB43" s="257">
        <v>38</v>
      </c>
      <c r="AC43" s="258" t="s">
        <v>201</v>
      </c>
      <c r="AD43" s="215" t="s">
        <v>155</v>
      </c>
      <c r="AE43" s="215">
        <v>454030</v>
      </c>
      <c r="AF43" s="259">
        <v>4</v>
      </c>
    </row>
    <row r="44" spans="19:32" s="218" customFormat="1" ht="38.25">
      <c r="W44" s="229">
        <v>12</v>
      </c>
      <c r="X44" s="237" t="s">
        <v>305</v>
      </c>
      <c r="Y44" s="240">
        <v>301988</v>
      </c>
      <c r="Z44" s="488">
        <v>9.5</v>
      </c>
      <c r="AB44" s="257">
        <v>39</v>
      </c>
      <c r="AC44" s="258" t="s">
        <v>491</v>
      </c>
      <c r="AD44" s="215" t="s">
        <v>155</v>
      </c>
      <c r="AE44" s="215">
        <v>264646</v>
      </c>
      <c r="AF44" s="259">
        <v>12</v>
      </c>
    </row>
    <row r="45" spans="19:32" s="218" customFormat="1" ht="12.75">
      <c r="W45" s="229">
        <v>13</v>
      </c>
      <c r="X45" s="237" t="s">
        <v>189</v>
      </c>
      <c r="Y45" s="240">
        <v>231996</v>
      </c>
      <c r="Z45" s="488">
        <v>12</v>
      </c>
      <c r="AB45" s="257">
        <v>40</v>
      </c>
      <c r="AC45" s="254" t="s">
        <v>202</v>
      </c>
      <c r="AD45" s="215" t="s">
        <v>155</v>
      </c>
      <c r="AE45" s="215">
        <v>479126</v>
      </c>
      <c r="AF45" s="259">
        <v>4</v>
      </c>
    </row>
    <row r="46" spans="19:32" s="218" customFormat="1" ht="12.75">
      <c r="W46" s="229">
        <v>14</v>
      </c>
      <c r="X46" s="237" t="s">
        <v>190</v>
      </c>
      <c r="Y46" s="240">
        <v>232034</v>
      </c>
      <c r="Z46" s="488">
        <v>12</v>
      </c>
      <c r="AB46" s="257">
        <v>41</v>
      </c>
      <c r="AC46" s="254" t="s">
        <v>492</v>
      </c>
      <c r="AD46" s="215" t="s">
        <v>155</v>
      </c>
      <c r="AE46" s="215">
        <v>405276</v>
      </c>
      <c r="AF46" s="259">
        <v>16</v>
      </c>
    </row>
    <row r="47" spans="19:32" s="218" customFormat="1" ht="25.5">
      <c r="W47" s="229">
        <v>15</v>
      </c>
      <c r="X47" s="237" t="s">
        <v>191</v>
      </c>
      <c r="Y47" s="240">
        <v>229933</v>
      </c>
      <c r="Z47" s="488">
        <v>15</v>
      </c>
      <c r="AB47" s="257">
        <v>42</v>
      </c>
      <c r="AC47" s="254" t="s">
        <v>203</v>
      </c>
      <c r="AD47" s="215" t="s">
        <v>155</v>
      </c>
      <c r="AE47" s="215">
        <v>346243</v>
      </c>
      <c r="AF47" s="259">
        <v>3.5</v>
      </c>
    </row>
    <row r="48" spans="19:32" s="218" customFormat="1" ht="25.5">
      <c r="W48" s="229">
        <v>16</v>
      </c>
      <c r="X48" s="237" t="s">
        <v>306</v>
      </c>
      <c r="Y48" s="240">
        <v>265200</v>
      </c>
      <c r="Z48" s="488">
        <v>6</v>
      </c>
      <c r="AB48" s="257">
        <v>43</v>
      </c>
      <c r="AC48" s="254" t="s">
        <v>499</v>
      </c>
      <c r="AD48" s="215" t="s">
        <v>212</v>
      </c>
      <c r="AE48" s="215">
        <v>471345</v>
      </c>
      <c r="AF48" s="259">
        <v>3</v>
      </c>
    </row>
    <row r="49" spans="23:32" s="218" customFormat="1" ht="12.75">
      <c r="W49" s="229">
        <v>17</v>
      </c>
      <c r="X49" s="237" t="s">
        <v>457</v>
      </c>
      <c r="Y49" s="240">
        <v>151014</v>
      </c>
      <c r="Z49" s="488">
        <v>12</v>
      </c>
      <c r="AB49" s="257">
        <v>44</v>
      </c>
      <c r="AC49" s="254" t="s">
        <v>204</v>
      </c>
      <c r="AD49" s="215" t="s">
        <v>534</v>
      </c>
      <c r="AE49" s="215">
        <v>343268</v>
      </c>
      <c r="AF49" s="259">
        <v>3</v>
      </c>
    </row>
    <row r="50" spans="23:32" s="218" customFormat="1" ht="12.75">
      <c r="W50" s="229">
        <v>18</v>
      </c>
      <c r="X50" s="237" t="s">
        <v>192</v>
      </c>
      <c r="Y50" s="240">
        <v>254511</v>
      </c>
      <c r="Z50" s="488">
        <v>12</v>
      </c>
      <c r="AB50" s="257">
        <v>45</v>
      </c>
      <c r="AC50" s="254" t="s">
        <v>206</v>
      </c>
      <c r="AD50" s="215" t="s">
        <v>534</v>
      </c>
      <c r="AE50" s="215">
        <v>477578</v>
      </c>
      <c r="AF50" s="259">
        <v>3</v>
      </c>
    </row>
    <row r="51" spans="23:32" s="218" customFormat="1" ht="25.5">
      <c r="W51" s="229">
        <v>19</v>
      </c>
      <c r="X51" s="237" t="s">
        <v>458</v>
      </c>
      <c r="Y51" s="240">
        <v>446269</v>
      </c>
      <c r="Z51" s="488">
        <v>12</v>
      </c>
      <c r="AB51" s="257">
        <v>46</v>
      </c>
      <c r="AC51" s="254" t="s">
        <v>500</v>
      </c>
      <c r="AD51" s="215" t="s">
        <v>535</v>
      </c>
      <c r="AE51" s="215">
        <v>443397</v>
      </c>
      <c r="AF51" s="259">
        <v>25</v>
      </c>
    </row>
    <row r="52" spans="23:32" s="218" customFormat="1" ht="12.75">
      <c r="W52" s="229">
        <v>20</v>
      </c>
      <c r="X52" s="237" t="s">
        <v>459</v>
      </c>
      <c r="Y52" s="240">
        <v>469862</v>
      </c>
      <c r="Z52" s="488">
        <v>12</v>
      </c>
      <c r="AB52" s="257">
        <v>47</v>
      </c>
      <c r="AC52" s="254" t="s">
        <v>501</v>
      </c>
      <c r="AD52" s="215" t="s">
        <v>534</v>
      </c>
      <c r="AE52" s="215">
        <v>445984</v>
      </c>
      <c r="AF52" s="259">
        <v>4</v>
      </c>
    </row>
    <row r="53" spans="23:32" s="218" customFormat="1" ht="12.75">
      <c r="W53" s="229">
        <v>21</v>
      </c>
      <c r="X53" s="237" t="s">
        <v>194</v>
      </c>
      <c r="Y53" s="240">
        <v>226129</v>
      </c>
      <c r="Z53" s="488">
        <v>12</v>
      </c>
      <c r="AB53" s="257">
        <v>48</v>
      </c>
      <c r="AC53" s="254" t="s">
        <v>504</v>
      </c>
      <c r="AD53" s="215" t="s">
        <v>212</v>
      </c>
      <c r="AE53" s="215">
        <v>381343</v>
      </c>
      <c r="AF53" s="259">
        <v>2</v>
      </c>
    </row>
    <row r="54" spans="23:32" s="218" customFormat="1" ht="12.75">
      <c r="W54" s="229">
        <v>22</v>
      </c>
      <c r="X54" s="237" t="s">
        <v>193</v>
      </c>
      <c r="Y54" s="240">
        <v>438600</v>
      </c>
      <c r="Z54" s="488">
        <v>12</v>
      </c>
      <c r="AB54" s="257">
        <v>49</v>
      </c>
      <c r="AC54" s="254" t="s">
        <v>505</v>
      </c>
      <c r="AD54" s="215" t="s">
        <v>155</v>
      </c>
      <c r="AE54" s="215">
        <v>473394</v>
      </c>
      <c r="AF54" s="259">
        <v>3</v>
      </c>
    </row>
    <row r="55" spans="23:32" s="218" customFormat="1" ht="12.75">
      <c r="W55" s="229">
        <v>23</v>
      </c>
      <c r="X55" s="237" t="s">
        <v>672</v>
      </c>
      <c r="Y55" s="240">
        <v>317622</v>
      </c>
      <c r="Z55" s="488">
        <v>19.5</v>
      </c>
      <c r="AB55" s="257">
        <v>50</v>
      </c>
      <c r="AC55" s="254" t="s">
        <v>207</v>
      </c>
      <c r="AD55" s="215" t="s">
        <v>212</v>
      </c>
      <c r="AE55" s="215">
        <v>412712</v>
      </c>
      <c r="AF55" s="259">
        <v>6</v>
      </c>
    </row>
    <row r="56" spans="23:32" s="218" customFormat="1" ht="25.5">
      <c r="W56" s="229">
        <v>24</v>
      </c>
      <c r="X56" s="237" t="s">
        <v>526</v>
      </c>
      <c r="Y56" s="240">
        <v>252759</v>
      </c>
      <c r="Z56" s="488">
        <v>19</v>
      </c>
      <c r="AB56" s="257">
        <v>51</v>
      </c>
      <c r="AC56" s="254" t="s">
        <v>506</v>
      </c>
      <c r="AD56" s="215" t="s">
        <v>155</v>
      </c>
      <c r="AE56" s="215">
        <v>450515</v>
      </c>
      <c r="AF56" s="259">
        <v>4.5</v>
      </c>
    </row>
    <row r="57" spans="23:32" s="218" customFormat="1" ht="12.75">
      <c r="W57" s="229">
        <v>25</v>
      </c>
      <c r="X57" s="237" t="s">
        <v>673</v>
      </c>
      <c r="Y57" s="240">
        <v>417310</v>
      </c>
      <c r="Z57" s="488">
        <v>18.75</v>
      </c>
      <c r="AB57" s="257">
        <v>52</v>
      </c>
      <c r="AC57" s="254" t="s">
        <v>507</v>
      </c>
      <c r="AD57" s="215" t="s">
        <v>155</v>
      </c>
      <c r="AE57" s="215">
        <v>477466</v>
      </c>
      <c r="AF57" s="259">
        <v>10</v>
      </c>
    </row>
    <row r="58" spans="23:32" s="218" customFormat="1" ht="12.75">
      <c r="W58" s="229">
        <v>26</v>
      </c>
      <c r="X58" s="237" t="s">
        <v>527</v>
      </c>
      <c r="Y58" s="240">
        <v>476381</v>
      </c>
      <c r="Z58" s="488">
        <v>12</v>
      </c>
      <c r="AB58" s="257">
        <v>53</v>
      </c>
      <c r="AC58" s="258" t="s">
        <v>508</v>
      </c>
      <c r="AD58" s="215" t="s">
        <v>155</v>
      </c>
      <c r="AE58" s="215">
        <v>304749</v>
      </c>
      <c r="AF58" s="259">
        <v>6</v>
      </c>
    </row>
    <row r="59" spans="23:32" s="218" customFormat="1" ht="12.75">
      <c r="W59" s="229">
        <v>27</v>
      </c>
      <c r="X59" s="237" t="s">
        <v>528</v>
      </c>
      <c r="Y59" s="240">
        <v>318938</v>
      </c>
      <c r="Z59" s="488">
        <v>12</v>
      </c>
      <c r="AB59" s="257">
        <v>54</v>
      </c>
      <c r="AC59" s="258" t="s">
        <v>509</v>
      </c>
      <c r="AD59" s="215" t="s">
        <v>155</v>
      </c>
      <c r="AE59" s="215">
        <v>304749</v>
      </c>
      <c r="AF59" s="259">
        <v>6</v>
      </c>
    </row>
    <row r="60" spans="23:32" s="218" customFormat="1" ht="12.75">
      <c r="W60" s="229">
        <v>28</v>
      </c>
      <c r="X60" s="237" t="s">
        <v>529</v>
      </c>
      <c r="Y60" s="240">
        <v>363532</v>
      </c>
      <c r="Z60" s="488">
        <v>12</v>
      </c>
      <c r="AB60" s="257">
        <v>55</v>
      </c>
      <c r="AC60" s="258" t="s">
        <v>511</v>
      </c>
      <c r="AD60" s="215" t="s">
        <v>212</v>
      </c>
      <c r="AE60" s="215">
        <v>241726</v>
      </c>
      <c r="AF60" s="259">
        <v>3.5</v>
      </c>
    </row>
    <row r="61" spans="23:32" s="218" customFormat="1" ht="25.5">
      <c r="W61" s="229">
        <v>29</v>
      </c>
      <c r="X61" s="237" t="s">
        <v>530</v>
      </c>
      <c r="Y61" s="240">
        <v>327917</v>
      </c>
      <c r="Z61" s="488">
        <v>19</v>
      </c>
      <c r="AB61" s="257">
        <v>56</v>
      </c>
      <c r="AC61" s="258" t="s">
        <v>208</v>
      </c>
      <c r="AD61" s="215" t="s">
        <v>155</v>
      </c>
      <c r="AE61" s="215">
        <v>449786</v>
      </c>
      <c r="AF61" s="259">
        <v>4</v>
      </c>
    </row>
    <row r="62" spans="23:32" s="218" customFormat="1" ht="25.5">
      <c r="W62" s="229">
        <v>30</v>
      </c>
      <c r="X62" s="237" t="s">
        <v>531</v>
      </c>
      <c r="Y62" s="240">
        <v>412574</v>
      </c>
      <c r="Z62" s="488">
        <v>22</v>
      </c>
      <c r="AB62" s="257">
        <v>57</v>
      </c>
      <c r="AC62" s="258" t="s">
        <v>512</v>
      </c>
      <c r="AD62" s="215" t="s">
        <v>155</v>
      </c>
      <c r="AE62" s="215">
        <v>425748</v>
      </c>
      <c r="AF62" s="259">
        <v>1.5</v>
      </c>
    </row>
    <row r="63" spans="23:32" s="218" customFormat="1" ht="12.75">
      <c r="W63" s="229">
        <v>31</v>
      </c>
      <c r="X63" s="237" t="s">
        <v>674</v>
      </c>
      <c r="Y63" s="240">
        <v>300323</v>
      </c>
      <c r="Z63" s="488">
        <v>12</v>
      </c>
      <c r="AB63" s="257">
        <v>58</v>
      </c>
      <c r="AC63" s="258" t="s">
        <v>209</v>
      </c>
      <c r="AD63" s="215" t="s">
        <v>155</v>
      </c>
      <c r="AE63" s="215">
        <v>327844</v>
      </c>
      <c r="AF63" s="259">
        <v>6</v>
      </c>
    </row>
    <row r="64" spans="23:32" s="218" customFormat="1" ht="12.75">
      <c r="W64" s="229">
        <v>32</v>
      </c>
      <c r="X64" s="237" t="s">
        <v>311</v>
      </c>
      <c r="Y64" s="240">
        <v>239916</v>
      </c>
      <c r="Z64" s="488">
        <v>6</v>
      </c>
      <c r="AB64" s="257">
        <v>59</v>
      </c>
      <c r="AC64" s="258" t="s">
        <v>513</v>
      </c>
      <c r="AD64" s="215" t="s">
        <v>155</v>
      </c>
      <c r="AE64" s="215">
        <v>327844</v>
      </c>
      <c r="AF64" s="259">
        <v>4.5</v>
      </c>
    </row>
    <row r="65" spans="23:32" s="218" customFormat="1" ht="25.5">
      <c r="W65" s="229">
        <v>33</v>
      </c>
      <c r="X65" s="237" t="s">
        <v>312</v>
      </c>
      <c r="Y65" s="240">
        <v>252697</v>
      </c>
      <c r="Z65" s="488">
        <v>9.5</v>
      </c>
      <c r="AB65" s="257">
        <v>60</v>
      </c>
      <c r="AC65" s="258" t="s">
        <v>675</v>
      </c>
      <c r="AD65" s="215" t="s">
        <v>155</v>
      </c>
      <c r="AE65" s="215">
        <v>412918</v>
      </c>
      <c r="AF65" s="259">
        <v>8</v>
      </c>
    </row>
    <row r="66" spans="23:32" s="218" customFormat="1" ht="25.5">
      <c r="W66" s="229">
        <v>34</v>
      </c>
      <c r="X66" s="237" t="s">
        <v>676</v>
      </c>
      <c r="Y66" s="240">
        <v>409684</v>
      </c>
      <c r="Z66" s="488">
        <v>12</v>
      </c>
      <c r="AB66" s="257">
        <v>61</v>
      </c>
      <c r="AC66" s="258" t="s">
        <v>677</v>
      </c>
      <c r="AD66" s="215" t="s">
        <v>155</v>
      </c>
      <c r="AE66" s="215">
        <v>389042</v>
      </c>
      <c r="AF66" s="259">
        <v>8</v>
      </c>
    </row>
    <row r="67" spans="23:32" s="218" customFormat="1" ht="25.5">
      <c r="W67" s="229">
        <v>35</v>
      </c>
      <c r="X67" s="237" t="s">
        <v>678</v>
      </c>
      <c r="Y67" s="240">
        <v>361154</v>
      </c>
      <c r="Z67" s="488">
        <v>150</v>
      </c>
      <c r="AB67" s="257">
        <v>62</v>
      </c>
      <c r="AC67" s="258" t="s">
        <v>514</v>
      </c>
      <c r="AD67" s="215" t="s">
        <v>155</v>
      </c>
      <c r="AE67" s="215">
        <v>376554</v>
      </c>
      <c r="AF67" s="259">
        <v>8</v>
      </c>
    </row>
    <row r="68" spans="23:32" s="218" customFormat="1" ht="25.5">
      <c r="W68" s="229">
        <v>36</v>
      </c>
      <c r="X68" s="237" t="s">
        <v>502</v>
      </c>
      <c r="Y68" s="240">
        <v>7447</v>
      </c>
      <c r="Z68" s="488">
        <v>75</v>
      </c>
      <c r="AB68" s="257">
        <v>63</v>
      </c>
      <c r="AC68" s="258" t="s">
        <v>211</v>
      </c>
      <c r="AD68" s="215" t="s">
        <v>155</v>
      </c>
      <c r="AE68" s="215">
        <v>234737</v>
      </c>
      <c r="AF68" s="259">
        <v>2.5</v>
      </c>
    </row>
    <row r="69" spans="23:32" s="218" customFormat="1" ht="12.75">
      <c r="W69" s="229">
        <v>37</v>
      </c>
      <c r="X69" s="237" t="s">
        <v>503</v>
      </c>
      <c r="Y69" s="240">
        <v>455723</v>
      </c>
      <c r="Z69" s="488">
        <v>85</v>
      </c>
      <c r="AB69" s="257">
        <v>64</v>
      </c>
      <c r="AC69" s="258" t="s">
        <v>515</v>
      </c>
      <c r="AD69" s="215" t="s">
        <v>155</v>
      </c>
      <c r="AE69" s="215">
        <v>330354</v>
      </c>
      <c r="AF69" s="259">
        <v>15</v>
      </c>
    </row>
    <row r="70" spans="23:32" s="218" customFormat="1" ht="12.75">
      <c r="W70" s="229">
        <v>38</v>
      </c>
      <c r="X70" s="237" t="s">
        <v>510</v>
      </c>
      <c r="Y70" s="240">
        <v>337806</v>
      </c>
      <c r="Z70" s="488">
        <v>12</v>
      </c>
      <c r="AB70" s="257">
        <v>65</v>
      </c>
      <c r="AC70" s="258" t="s">
        <v>679</v>
      </c>
      <c r="AD70" s="215" t="s">
        <v>155</v>
      </c>
      <c r="AE70" s="215">
        <v>416506</v>
      </c>
      <c r="AF70" s="259">
        <v>15</v>
      </c>
    </row>
    <row r="71" spans="23:32" s="218" customFormat="1" ht="12.75">
      <c r="W71" s="229">
        <v>39</v>
      </c>
      <c r="X71" s="237" t="s">
        <v>680</v>
      </c>
      <c r="Y71" s="240">
        <v>338696</v>
      </c>
      <c r="Z71" s="488">
        <v>12</v>
      </c>
      <c r="AB71" s="257">
        <v>66</v>
      </c>
      <c r="AC71" s="258" t="s">
        <v>516</v>
      </c>
      <c r="AD71" s="215" t="s">
        <v>155</v>
      </c>
      <c r="AE71" s="215">
        <v>150589</v>
      </c>
      <c r="AF71" s="259">
        <v>17</v>
      </c>
    </row>
    <row r="72" spans="23:32" s="218" customFormat="1" ht="25.5">
      <c r="W72" s="229">
        <v>40</v>
      </c>
      <c r="X72" s="237" t="s">
        <v>493</v>
      </c>
      <c r="Y72" s="240">
        <v>442845</v>
      </c>
      <c r="Z72" s="488">
        <v>45</v>
      </c>
      <c r="AB72" s="257">
        <v>67</v>
      </c>
      <c r="AC72" s="258" t="s">
        <v>517</v>
      </c>
      <c r="AD72" s="215" t="s">
        <v>155</v>
      </c>
      <c r="AE72" s="215">
        <v>150589</v>
      </c>
      <c r="AF72" s="259">
        <v>4</v>
      </c>
    </row>
    <row r="73" spans="23:32" s="218" customFormat="1" ht="25.5">
      <c r="W73" s="229">
        <v>41</v>
      </c>
      <c r="X73" s="237" t="s">
        <v>494</v>
      </c>
      <c r="Y73" s="240">
        <v>442841</v>
      </c>
      <c r="Z73" s="488">
        <v>45</v>
      </c>
      <c r="AB73" s="257">
        <v>68</v>
      </c>
      <c r="AC73" s="258" t="s">
        <v>310</v>
      </c>
      <c r="AD73" s="215" t="s">
        <v>155</v>
      </c>
      <c r="AE73" s="215">
        <v>312074</v>
      </c>
      <c r="AF73" s="259">
        <v>4</v>
      </c>
    </row>
    <row r="74" spans="23:32" s="218" customFormat="1" ht="25.5">
      <c r="W74" s="229">
        <v>42</v>
      </c>
      <c r="X74" s="237" t="s">
        <v>495</v>
      </c>
      <c r="Y74" s="240">
        <v>442844</v>
      </c>
      <c r="Z74" s="488">
        <v>45</v>
      </c>
      <c r="AB74" s="257">
        <v>69</v>
      </c>
      <c r="AC74" s="258" t="s">
        <v>518</v>
      </c>
      <c r="AD74" s="215" t="s">
        <v>155</v>
      </c>
      <c r="AE74" s="215">
        <v>475888</v>
      </c>
      <c r="AF74" s="259">
        <v>4</v>
      </c>
    </row>
    <row r="75" spans="23:32" s="218" customFormat="1" ht="25.5">
      <c r="W75" s="229">
        <v>43</v>
      </c>
      <c r="X75" s="237" t="s">
        <v>496</v>
      </c>
      <c r="Y75" s="240">
        <v>442843</v>
      </c>
      <c r="Z75" s="488">
        <v>45</v>
      </c>
      <c r="AB75" s="257">
        <v>70</v>
      </c>
      <c r="AC75" s="258" t="s">
        <v>519</v>
      </c>
      <c r="AD75" s="215" t="s">
        <v>155</v>
      </c>
      <c r="AE75" s="215">
        <v>228861</v>
      </c>
      <c r="AF75" s="259">
        <v>12</v>
      </c>
    </row>
    <row r="76" spans="23:32" s="218" customFormat="1" ht="25.5">
      <c r="W76" s="229">
        <v>44</v>
      </c>
      <c r="X76" s="237" t="s">
        <v>497</v>
      </c>
      <c r="Y76" s="240">
        <v>442842</v>
      </c>
      <c r="Z76" s="488">
        <v>45</v>
      </c>
      <c r="AB76" s="257">
        <v>71</v>
      </c>
      <c r="AC76" s="258" t="s">
        <v>520</v>
      </c>
      <c r="AD76" s="215" t="s">
        <v>155</v>
      </c>
      <c r="AE76" s="215">
        <v>471301</v>
      </c>
      <c r="AF76" s="259">
        <v>12</v>
      </c>
    </row>
    <row r="77" spans="23:32" s="218" customFormat="1" ht="25.5">
      <c r="W77" s="229">
        <v>45</v>
      </c>
      <c r="X77" s="237" t="s">
        <v>498</v>
      </c>
      <c r="Y77" s="240">
        <v>442846</v>
      </c>
      <c r="Z77" s="488">
        <v>45</v>
      </c>
      <c r="AB77" s="257">
        <v>72</v>
      </c>
      <c r="AC77" s="258" t="s">
        <v>681</v>
      </c>
      <c r="AD77" s="215" t="s">
        <v>155</v>
      </c>
      <c r="AE77" s="215">
        <v>446184</v>
      </c>
      <c r="AF77" s="259">
        <v>12</v>
      </c>
    </row>
    <row r="78" spans="23:32" s="218" customFormat="1" ht="12.75">
      <c r="W78" s="229">
        <v>46</v>
      </c>
      <c r="X78" s="237" t="s">
        <v>471</v>
      </c>
      <c r="Y78" s="240">
        <v>8397</v>
      </c>
      <c r="Z78" s="488">
        <v>16</v>
      </c>
      <c r="AB78" s="257">
        <v>73</v>
      </c>
      <c r="AC78" s="258" t="s">
        <v>521</v>
      </c>
      <c r="AD78" s="215" t="s">
        <v>155</v>
      </c>
      <c r="AE78" s="215">
        <v>417262</v>
      </c>
      <c r="AF78" s="259">
        <v>12</v>
      </c>
    </row>
    <row r="79" spans="23:32" s="218" customFormat="1" ht="12.75">
      <c r="W79" s="229" t="s">
        <v>143</v>
      </c>
      <c r="X79" s="240"/>
      <c r="Y79" s="240"/>
      <c r="Z79" s="443">
        <f>SUBTOTAL(109,Tabela4045[VALOR])</f>
        <v>1391.25</v>
      </c>
      <c r="AB79" s="257">
        <v>74</v>
      </c>
      <c r="AC79" s="258" t="s">
        <v>522</v>
      </c>
      <c r="AD79" s="215" t="s">
        <v>155</v>
      </c>
      <c r="AE79" s="215">
        <v>416696</v>
      </c>
      <c r="AF79" s="259">
        <v>12</v>
      </c>
    </row>
    <row r="80" spans="23:32" s="218" customFormat="1" ht="12.75">
      <c r="W80" s="268"/>
      <c r="X80" s="283"/>
      <c r="Y80" s="283"/>
      <c r="Z80" s="269"/>
      <c r="AB80" s="257">
        <v>75</v>
      </c>
      <c r="AC80" s="258" t="s">
        <v>682</v>
      </c>
      <c r="AD80" s="215" t="s">
        <v>155</v>
      </c>
      <c r="AE80" s="215">
        <v>442214</v>
      </c>
      <c r="AF80" s="259">
        <v>12</v>
      </c>
    </row>
    <row r="81" spans="28:32" s="218" customFormat="1" ht="12.75">
      <c r="AB81" s="257">
        <v>76</v>
      </c>
      <c r="AC81" s="258" t="s">
        <v>523</v>
      </c>
      <c r="AD81" s="215" t="s">
        <v>155</v>
      </c>
      <c r="AE81" s="215">
        <v>235287</v>
      </c>
      <c r="AF81" s="259">
        <v>6</v>
      </c>
    </row>
    <row r="82" spans="28:32" s="218" customFormat="1" ht="12.75">
      <c r="AB82" s="257">
        <v>77</v>
      </c>
      <c r="AC82" s="258" t="s">
        <v>683</v>
      </c>
      <c r="AD82" s="215" t="s">
        <v>155</v>
      </c>
      <c r="AE82" s="215">
        <v>254879</v>
      </c>
      <c r="AF82" s="259">
        <v>6</v>
      </c>
    </row>
    <row r="83" spans="28:32" s="218" customFormat="1" ht="12.75">
      <c r="AB83" s="257">
        <v>78</v>
      </c>
      <c r="AC83" s="258" t="s">
        <v>524</v>
      </c>
      <c r="AD83" s="215" t="s">
        <v>155</v>
      </c>
      <c r="AE83" s="215">
        <v>311420</v>
      </c>
      <c r="AF83" s="259">
        <v>6</v>
      </c>
    </row>
    <row r="84" spans="28:32" s="218" customFormat="1" ht="12.75">
      <c r="AB84" s="257">
        <v>79</v>
      </c>
      <c r="AC84" s="258" t="s">
        <v>684</v>
      </c>
      <c r="AD84" s="215" t="s">
        <v>155</v>
      </c>
      <c r="AE84" s="215">
        <v>324827</v>
      </c>
      <c r="AF84" s="259">
        <v>4.5</v>
      </c>
    </row>
    <row r="85" spans="28:32" s="218" customFormat="1" ht="25.5">
      <c r="AB85" s="257">
        <v>80</v>
      </c>
      <c r="AC85" s="258" t="s">
        <v>213</v>
      </c>
      <c r="AD85" s="215" t="s">
        <v>155</v>
      </c>
      <c r="AE85" s="215">
        <v>463131</v>
      </c>
      <c r="AF85" s="259">
        <v>24</v>
      </c>
    </row>
    <row r="86" spans="28:32" s="218" customFormat="1" ht="25.5">
      <c r="AB86" s="257">
        <v>81</v>
      </c>
      <c r="AC86" s="258" t="s">
        <v>525</v>
      </c>
      <c r="AD86" s="215" t="s">
        <v>212</v>
      </c>
      <c r="AE86" s="215">
        <v>403320</v>
      </c>
      <c r="AF86" s="259">
        <v>7.75</v>
      </c>
    </row>
    <row r="87" spans="28:32" s="218" customFormat="1" ht="25.5">
      <c r="AB87" s="257">
        <v>82</v>
      </c>
      <c r="AC87" s="258" t="s">
        <v>214</v>
      </c>
      <c r="AD87" s="215" t="s">
        <v>212</v>
      </c>
      <c r="AE87" s="215">
        <v>403319</v>
      </c>
      <c r="AF87" s="259">
        <v>7.75</v>
      </c>
    </row>
    <row r="88" spans="28:32" s="218" customFormat="1" ht="38.25">
      <c r="AB88" s="257">
        <v>83</v>
      </c>
      <c r="AC88" s="258" t="s">
        <v>215</v>
      </c>
      <c r="AD88" s="215" t="s">
        <v>212</v>
      </c>
      <c r="AE88" s="215">
        <v>470833</v>
      </c>
      <c r="AF88" s="259">
        <v>7.75</v>
      </c>
    </row>
    <row r="89" spans="28:32" s="218" customFormat="1" ht="38.25">
      <c r="AB89" s="257">
        <v>84</v>
      </c>
      <c r="AC89" s="258" t="s">
        <v>216</v>
      </c>
      <c r="AD89" s="215" t="s">
        <v>212</v>
      </c>
      <c r="AE89" s="215">
        <v>458145</v>
      </c>
      <c r="AF89" s="259">
        <v>7.5</v>
      </c>
    </row>
    <row r="90" spans="28:32" s="218" customFormat="1" ht="38.25">
      <c r="AB90" s="257">
        <v>85</v>
      </c>
      <c r="AC90" s="258" t="s">
        <v>217</v>
      </c>
      <c r="AD90" s="215" t="s">
        <v>212</v>
      </c>
      <c r="AE90" s="215">
        <v>394459</v>
      </c>
      <c r="AF90" s="259">
        <v>7.5</v>
      </c>
    </row>
    <row r="91" spans="28:32" s="218" customFormat="1" ht="12.75">
      <c r="AB91" s="257">
        <v>86</v>
      </c>
      <c r="AC91" s="258" t="s">
        <v>210</v>
      </c>
      <c r="AD91" s="215" t="s">
        <v>155</v>
      </c>
      <c r="AE91" s="215">
        <v>236605</v>
      </c>
      <c r="AF91" s="259">
        <v>15.150969999999999</v>
      </c>
    </row>
    <row r="92" spans="28:32" s="218" customFormat="1" ht="12.75">
      <c r="AB92" s="293"/>
      <c r="AC92" s="294"/>
      <c r="AD92" s="295"/>
      <c r="AE92" s="295"/>
      <c r="AF92" s="296"/>
    </row>
    <row r="93" spans="28:32">
      <c r="AB93" s="297"/>
      <c r="AC93" s="298"/>
      <c r="AD93" s="298"/>
      <c r="AE93" s="298"/>
      <c r="AF93" s="299"/>
    </row>
  </sheetData>
  <mergeCells count="6">
    <mergeCell ref="AB1:AF4"/>
    <mergeCell ref="A1:B4"/>
    <mergeCell ref="D1:H4"/>
    <mergeCell ref="J1:N4"/>
    <mergeCell ref="P1:U4"/>
    <mergeCell ref="W1:Z4"/>
  </mergeCells>
  <pageMargins left="0.511811024" right="0.511811024" top="0.78740157499999996" bottom="0.78740157499999996" header="0.31496062000000002" footer="0.31496062000000002"/>
  <pageSetup orientation="portrait" r:id="rId1"/>
  <drawing r:id="rId2"/>
  <legacyDrawing r:id="rId3"/>
  <tableParts count="11">
    <tablePart r:id="rId4"/>
    <tablePart r:id="rId5"/>
    <tablePart r:id="rId6"/>
    <tablePart r:id="rId7"/>
    <tablePart r:id="rId8"/>
    <tablePart r:id="rId9"/>
    <tablePart r:id="rId10"/>
    <tablePart r:id="rId11"/>
    <tablePart r:id="rId12"/>
    <tablePart r:id="rId13"/>
    <tablePart r:id="rId1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sheetPr>
  <dimension ref="A3:K59"/>
  <sheetViews>
    <sheetView workbookViewId="0">
      <selection activeCell="E15" sqref="E15"/>
    </sheetView>
  </sheetViews>
  <sheetFormatPr defaultRowHeight="15"/>
  <cols>
    <col min="1" max="1" width="41" style="221" bestFit="1" customWidth="1"/>
    <col min="2" max="2" width="17.42578125" style="355" bestFit="1" customWidth="1"/>
    <col min="3" max="3" width="11.7109375" style="355" bestFit="1" customWidth="1"/>
    <col min="4" max="4" width="8.140625" style="355" bestFit="1" customWidth="1"/>
    <col min="5" max="5" width="17.7109375" style="356" bestFit="1" customWidth="1"/>
    <col min="6" max="6" width="16.140625" style="356" bestFit="1" customWidth="1"/>
    <col min="7" max="7" width="12.85546875" style="356" bestFit="1" customWidth="1"/>
    <col min="8" max="8" width="17.5703125" style="357" bestFit="1" customWidth="1"/>
    <col min="9" max="9" width="15.7109375" style="357" bestFit="1" customWidth="1"/>
    <col min="10" max="10" width="14.7109375" style="357" bestFit="1" customWidth="1"/>
    <col min="11" max="11" width="18.140625" style="221" bestFit="1" customWidth="1"/>
    <col min="12" max="16384" width="9.140625" style="221"/>
  </cols>
  <sheetData>
    <row r="3" spans="1:11" s="356" customFormat="1" ht="57">
      <c r="A3" s="496" t="s">
        <v>226</v>
      </c>
      <c r="B3" s="497" t="s">
        <v>361</v>
      </c>
      <c r="C3" s="497" t="s">
        <v>302</v>
      </c>
      <c r="D3" s="497" t="s">
        <v>362</v>
      </c>
      <c r="E3" s="490" t="s">
        <v>690</v>
      </c>
      <c r="F3" s="490" t="s">
        <v>691</v>
      </c>
      <c r="G3" s="490" t="s">
        <v>692</v>
      </c>
      <c r="H3" s="493" t="s">
        <v>693</v>
      </c>
      <c r="I3" s="493" t="s">
        <v>694</v>
      </c>
      <c r="J3" s="493" t="s">
        <v>315</v>
      </c>
      <c r="K3" s="498" t="s">
        <v>319</v>
      </c>
    </row>
    <row r="4" spans="1:11">
      <c r="A4" s="492" t="s">
        <v>324</v>
      </c>
      <c r="B4" s="489">
        <v>328.38</v>
      </c>
      <c r="C4" s="489">
        <v>392</v>
      </c>
      <c r="D4" s="489">
        <v>0.83671328671328671</v>
      </c>
      <c r="E4" s="493">
        <v>6.9140608289481769</v>
      </c>
      <c r="F4" s="493">
        <v>1.6019715996805637</v>
      </c>
      <c r="G4" s="493">
        <v>8.5160324286287423</v>
      </c>
      <c r="H4" s="494">
        <v>2267.6364681176178</v>
      </c>
      <c r="I4" s="494">
        <v>525.40602551756808</v>
      </c>
      <c r="J4" s="494">
        <v>2793.0424936351856</v>
      </c>
      <c r="K4" s="491">
        <v>0.30679398148148151</v>
      </c>
    </row>
    <row r="5" spans="1:11">
      <c r="A5" s="495" t="s">
        <v>546</v>
      </c>
      <c r="B5" s="489">
        <v>122.55000000000001</v>
      </c>
      <c r="C5" s="489">
        <v>390</v>
      </c>
      <c r="D5" s="489">
        <v>0.31423076923076926</v>
      </c>
      <c r="E5" s="493">
        <v>6.9491575844250715</v>
      </c>
      <c r="F5" s="493">
        <v>1.6101034352119372</v>
      </c>
      <c r="G5" s="493">
        <v>8.5592610196370096</v>
      </c>
      <c r="H5" s="494">
        <v>851.61926197129264</v>
      </c>
      <c r="I5" s="494">
        <v>197.31817598522292</v>
      </c>
      <c r="J5" s="494">
        <v>1048.9374379565156</v>
      </c>
      <c r="K5" s="491">
        <v>0.1152199074074074</v>
      </c>
    </row>
    <row r="6" spans="1:11">
      <c r="A6" s="495" t="s">
        <v>574</v>
      </c>
      <c r="B6" s="489">
        <v>69.75</v>
      </c>
      <c r="C6" s="489">
        <v>390</v>
      </c>
      <c r="D6" s="489">
        <v>0.17884615384615385</v>
      </c>
      <c r="E6" s="493">
        <v>6.9491575844250715</v>
      </c>
      <c r="F6" s="493">
        <v>1.6101034352119372</v>
      </c>
      <c r="G6" s="493">
        <v>8.5592610196370096</v>
      </c>
      <c r="H6" s="494">
        <v>484.70374151364871</v>
      </c>
      <c r="I6" s="494">
        <v>112.30471460603262</v>
      </c>
      <c r="J6" s="494">
        <v>597.00845611968145</v>
      </c>
      <c r="K6" s="491">
        <v>6.5578703703703708E-2</v>
      </c>
    </row>
    <row r="7" spans="1:11" ht="30">
      <c r="A7" s="495" t="s">
        <v>617</v>
      </c>
      <c r="B7" s="489">
        <v>136.07999999999998</v>
      </c>
      <c r="C7" s="489">
        <v>396</v>
      </c>
      <c r="D7" s="489">
        <v>0.34363636363636357</v>
      </c>
      <c r="E7" s="493">
        <v>6.8438673179943885</v>
      </c>
      <c r="F7" s="493">
        <v>1.5857079286178171</v>
      </c>
      <c r="G7" s="493">
        <v>8.429575246612206</v>
      </c>
      <c r="H7" s="494">
        <v>931.3134646326763</v>
      </c>
      <c r="I7" s="494">
        <v>215.78313492631253</v>
      </c>
      <c r="J7" s="494">
        <v>1147.0965995589888</v>
      </c>
      <c r="K7" s="491">
        <v>0.12599537037037037</v>
      </c>
    </row>
    <row r="8" spans="1:11">
      <c r="A8" s="492" t="s">
        <v>323</v>
      </c>
      <c r="B8" s="489">
        <v>3199.4219999999996</v>
      </c>
      <c r="C8" s="489">
        <v>1200</v>
      </c>
      <c r="D8" s="489">
        <v>2.6661849999999996</v>
      </c>
      <c r="E8" s="493">
        <v>2.2584762149381481</v>
      </c>
      <c r="F8" s="493">
        <v>0.52328361644388</v>
      </c>
      <c r="G8" s="493">
        <v>2.7817598313820286</v>
      </c>
      <c r="H8" s="494">
        <v>7225.8184885498404</v>
      </c>
      <c r="I8" s="494">
        <v>1674.2051146901103</v>
      </c>
      <c r="J8" s="494">
        <v>8900.023603239948</v>
      </c>
      <c r="K8" s="491">
        <v>0.97761574074074065</v>
      </c>
    </row>
    <row r="9" spans="1:11">
      <c r="A9" s="495" t="s">
        <v>602</v>
      </c>
      <c r="B9" s="489">
        <v>65.16</v>
      </c>
      <c r="C9" s="489">
        <v>1200</v>
      </c>
      <c r="D9" s="489">
        <v>5.4299999999999994E-2</v>
      </c>
      <c r="E9" s="493">
        <v>2.2584762149381481</v>
      </c>
      <c r="F9" s="493">
        <v>0.52328361644387966</v>
      </c>
      <c r="G9" s="493">
        <v>2.7817598313820278</v>
      </c>
      <c r="H9" s="494">
        <v>147.16231016536972</v>
      </c>
      <c r="I9" s="494">
        <v>34.097160447483198</v>
      </c>
      <c r="J9" s="494">
        <v>181.25947061285291</v>
      </c>
      <c r="K9" s="491">
        <v>1.9907407407407408E-2</v>
      </c>
    </row>
    <row r="10" spans="1:11">
      <c r="A10" s="495" t="s">
        <v>577</v>
      </c>
      <c r="B10" s="489">
        <v>77.52</v>
      </c>
      <c r="C10" s="489">
        <v>1200</v>
      </c>
      <c r="D10" s="489">
        <v>6.4599999999999991E-2</v>
      </c>
      <c r="E10" s="493">
        <v>2.2584762149381481</v>
      </c>
      <c r="F10" s="493">
        <v>0.52328361644387966</v>
      </c>
      <c r="G10" s="493">
        <v>2.7817598313820278</v>
      </c>
      <c r="H10" s="494">
        <v>175.07707618200524</v>
      </c>
      <c r="I10" s="494">
        <v>40.564945946729551</v>
      </c>
      <c r="J10" s="494">
        <v>215.64202212873479</v>
      </c>
      <c r="K10" s="491">
        <v>2.3692129629629629E-2</v>
      </c>
    </row>
    <row r="11" spans="1:11">
      <c r="A11" s="495" t="s">
        <v>624</v>
      </c>
      <c r="B11" s="489">
        <v>222.60000000000002</v>
      </c>
      <c r="C11" s="489">
        <v>1200</v>
      </c>
      <c r="D11" s="489">
        <v>0.18550000000000003</v>
      </c>
      <c r="E11" s="493">
        <v>2.2584762149381481</v>
      </c>
      <c r="F11" s="493">
        <v>0.52328361644387966</v>
      </c>
      <c r="G11" s="493">
        <v>2.7817598313820278</v>
      </c>
      <c r="H11" s="494">
        <v>502.73680544523182</v>
      </c>
      <c r="I11" s="494">
        <v>116.48293302040763</v>
      </c>
      <c r="J11" s="494">
        <v>619.21973846563947</v>
      </c>
      <c r="K11" s="491">
        <v>6.8020833333333336E-2</v>
      </c>
    </row>
    <row r="12" spans="1:11">
      <c r="A12" s="495" t="s">
        <v>579</v>
      </c>
      <c r="B12" s="489">
        <v>21.09</v>
      </c>
      <c r="C12" s="489">
        <v>1200</v>
      </c>
      <c r="D12" s="489">
        <v>1.7575E-2</v>
      </c>
      <c r="E12" s="493">
        <v>2.2584762149381481</v>
      </c>
      <c r="F12" s="493">
        <v>0.52328361644387966</v>
      </c>
      <c r="G12" s="493">
        <v>2.7817598313820278</v>
      </c>
      <c r="H12" s="494">
        <v>47.631263373045542</v>
      </c>
      <c r="I12" s="494">
        <v>11.036051470801421</v>
      </c>
      <c r="J12" s="494">
        <v>58.667314843846967</v>
      </c>
      <c r="K12" s="491">
        <v>6.4467592592592597E-3</v>
      </c>
    </row>
    <row r="13" spans="1:11">
      <c r="A13" s="495" t="s">
        <v>591</v>
      </c>
      <c r="B13" s="489">
        <v>540</v>
      </c>
      <c r="C13" s="489">
        <v>1200</v>
      </c>
      <c r="D13" s="489">
        <v>0.45</v>
      </c>
      <c r="E13" s="493">
        <v>2.2584762149381481</v>
      </c>
      <c r="F13" s="493">
        <v>0.52328361644387966</v>
      </c>
      <c r="G13" s="493">
        <v>2.7817598313820278</v>
      </c>
      <c r="H13" s="494">
        <v>1219.5771560666001</v>
      </c>
      <c r="I13" s="494">
        <v>282.57315287969504</v>
      </c>
      <c r="J13" s="494">
        <v>1502.1503089462949</v>
      </c>
      <c r="K13" s="491">
        <v>0.16500000000000001</v>
      </c>
    </row>
    <row r="14" spans="1:11">
      <c r="A14" s="495" t="s">
        <v>622</v>
      </c>
      <c r="B14" s="489">
        <v>91.199999999999989</v>
      </c>
      <c r="C14" s="489">
        <v>1200</v>
      </c>
      <c r="D14" s="489">
        <v>7.5999999999999984E-2</v>
      </c>
      <c r="E14" s="493">
        <v>2.2584762149381481</v>
      </c>
      <c r="F14" s="493">
        <v>0.52328361644387966</v>
      </c>
      <c r="G14" s="493">
        <v>2.7817598313820278</v>
      </c>
      <c r="H14" s="494">
        <v>205.97303080235909</v>
      </c>
      <c r="I14" s="494">
        <v>47.72346581968182</v>
      </c>
      <c r="J14" s="494">
        <v>253.69649662204091</v>
      </c>
      <c r="K14" s="491">
        <v>2.7870370370370368E-2</v>
      </c>
    </row>
    <row r="15" spans="1:11">
      <c r="A15" s="495" t="s">
        <v>572</v>
      </c>
      <c r="B15" s="489">
        <v>47.400000000000006</v>
      </c>
      <c r="C15" s="489">
        <v>1200</v>
      </c>
      <c r="D15" s="489">
        <v>3.9500000000000007E-2</v>
      </c>
      <c r="E15" s="493">
        <v>2.2584762149381481</v>
      </c>
      <c r="F15" s="493">
        <v>0.52328361644387966</v>
      </c>
      <c r="G15" s="493">
        <v>2.7817598313820278</v>
      </c>
      <c r="H15" s="494">
        <v>107.05177258806823</v>
      </c>
      <c r="I15" s="494">
        <v>24.803643419439901</v>
      </c>
      <c r="J15" s="494">
        <v>131.85541600750813</v>
      </c>
      <c r="K15" s="491">
        <v>1.4479166666666668E-2</v>
      </c>
    </row>
    <row r="16" spans="1:11">
      <c r="A16" s="495" t="s">
        <v>221</v>
      </c>
      <c r="B16" s="489">
        <v>27.089999999999996</v>
      </c>
      <c r="C16" s="489">
        <v>1200</v>
      </c>
      <c r="D16" s="489">
        <v>2.2574999999999998E-2</v>
      </c>
      <c r="E16" s="493">
        <v>2.2584762149381481</v>
      </c>
      <c r="F16" s="493">
        <v>0.52328361644387966</v>
      </c>
      <c r="G16" s="493">
        <v>2.7817598313820278</v>
      </c>
      <c r="H16" s="494">
        <v>61.182120662674421</v>
      </c>
      <c r="I16" s="494">
        <v>14.175753169464699</v>
      </c>
      <c r="J16" s="494">
        <v>75.35787383213912</v>
      </c>
      <c r="K16" s="491">
        <v>8.2754629629629619E-3</v>
      </c>
    </row>
    <row r="17" spans="1:11">
      <c r="A17" s="495" t="s">
        <v>620</v>
      </c>
      <c r="B17" s="489">
        <v>10.8</v>
      </c>
      <c r="C17" s="489">
        <v>1200</v>
      </c>
      <c r="D17" s="489">
        <v>9.0000000000000011E-3</v>
      </c>
      <c r="E17" s="493">
        <v>2.2584762149381481</v>
      </c>
      <c r="F17" s="493">
        <v>0.52328361644387966</v>
      </c>
      <c r="G17" s="493">
        <v>2.7817598313820278</v>
      </c>
      <c r="H17" s="494">
        <v>24.391543121332003</v>
      </c>
      <c r="I17" s="494">
        <v>5.6514630575939009</v>
      </c>
      <c r="J17" s="494">
        <v>30.043006178925904</v>
      </c>
      <c r="K17" s="491">
        <v>3.2986111111111111E-3</v>
      </c>
    </row>
    <row r="18" spans="1:11">
      <c r="A18" s="495" t="s">
        <v>568</v>
      </c>
      <c r="B18" s="489">
        <v>16.11</v>
      </c>
      <c r="C18" s="489">
        <v>1200</v>
      </c>
      <c r="D18" s="489">
        <v>1.3424999999999999E-2</v>
      </c>
      <c r="E18" s="493">
        <v>2.2584762149381481</v>
      </c>
      <c r="F18" s="493">
        <v>0.52328361644387966</v>
      </c>
      <c r="G18" s="493">
        <v>2.7817598313820278</v>
      </c>
      <c r="H18" s="494">
        <v>36.384051822653568</v>
      </c>
      <c r="I18" s="494">
        <v>8.4300990609109014</v>
      </c>
      <c r="J18" s="494">
        <v>44.814150883564466</v>
      </c>
      <c r="K18" s="491">
        <v>4.9189814814814816E-3</v>
      </c>
    </row>
    <row r="19" spans="1:11">
      <c r="A19" s="495" t="s">
        <v>580</v>
      </c>
      <c r="B19" s="489">
        <v>29.07</v>
      </c>
      <c r="C19" s="489">
        <v>1200</v>
      </c>
      <c r="D19" s="489">
        <v>2.4225E-2</v>
      </c>
      <c r="E19" s="493">
        <v>2.2584762149381481</v>
      </c>
      <c r="F19" s="493">
        <v>0.52328361644387966</v>
      </c>
      <c r="G19" s="493">
        <v>2.7817598313820278</v>
      </c>
      <c r="H19" s="494">
        <v>65.653903568251962</v>
      </c>
      <c r="I19" s="494">
        <v>15.211854730023582</v>
      </c>
      <c r="J19" s="494">
        <v>80.865758298275551</v>
      </c>
      <c r="K19" s="491">
        <v>8.8773148148148153E-3</v>
      </c>
    </row>
    <row r="20" spans="1:11">
      <c r="A20" s="495" t="s">
        <v>290</v>
      </c>
      <c r="B20" s="489">
        <v>31.122</v>
      </c>
      <c r="C20" s="489">
        <v>1200</v>
      </c>
      <c r="D20" s="489">
        <v>2.5935E-2</v>
      </c>
      <c r="E20" s="493">
        <v>2.2584762149381481</v>
      </c>
      <c r="F20" s="493">
        <v>0.52328361644387966</v>
      </c>
      <c r="G20" s="493">
        <v>2.7817598313820278</v>
      </c>
      <c r="H20" s="494">
        <v>70.288296761305048</v>
      </c>
      <c r="I20" s="494">
        <v>16.285632710966421</v>
      </c>
      <c r="J20" s="494">
        <v>86.573929472271473</v>
      </c>
      <c r="K20" s="491">
        <v>9.5138888888888894E-3</v>
      </c>
    </row>
    <row r="21" spans="1:11">
      <c r="A21" s="495" t="s">
        <v>548</v>
      </c>
      <c r="B21" s="489">
        <v>59.849999999999994</v>
      </c>
      <c r="C21" s="489">
        <v>1200</v>
      </c>
      <c r="D21" s="489">
        <v>4.9874999999999996E-2</v>
      </c>
      <c r="E21" s="493">
        <v>2.2584762149381481</v>
      </c>
      <c r="F21" s="493">
        <v>0.52328361644387966</v>
      </c>
      <c r="G21" s="493">
        <v>2.7817598313820278</v>
      </c>
      <c r="H21" s="494">
        <v>135.16980146404816</v>
      </c>
      <c r="I21" s="494">
        <v>31.318524444166194</v>
      </c>
      <c r="J21" s="494">
        <v>166.48832590821434</v>
      </c>
      <c r="K21" s="491">
        <v>1.8287037037037036E-2</v>
      </c>
    </row>
    <row r="22" spans="1:11">
      <c r="A22" s="495" t="s">
        <v>610</v>
      </c>
      <c r="B22" s="489">
        <v>53.099999999999994</v>
      </c>
      <c r="C22" s="489">
        <v>1200</v>
      </c>
      <c r="D22" s="489">
        <v>4.4249999999999998E-2</v>
      </c>
      <c r="E22" s="493">
        <v>2.2584762149381481</v>
      </c>
      <c r="F22" s="493">
        <v>0.52328361644387966</v>
      </c>
      <c r="G22" s="493">
        <v>2.7817598313820278</v>
      </c>
      <c r="H22" s="494">
        <v>119.92508701321565</v>
      </c>
      <c r="I22" s="494">
        <v>27.786360033170006</v>
      </c>
      <c r="J22" s="494">
        <v>147.71144704638567</v>
      </c>
      <c r="K22" s="491">
        <v>1.622685185185185E-2</v>
      </c>
    </row>
    <row r="23" spans="1:11">
      <c r="A23" s="495" t="s">
        <v>605</v>
      </c>
      <c r="B23" s="489">
        <v>33.54</v>
      </c>
      <c r="C23" s="489">
        <v>1200</v>
      </c>
      <c r="D23" s="489">
        <v>2.7949999999999999E-2</v>
      </c>
      <c r="E23" s="493">
        <v>2.2584762149381481</v>
      </c>
      <c r="F23" s="493">
        <v>0.52328361644387966</v>
      </c>
      <c r="G23" s="493">
        <v>2.7817598313820278</v>
      </c>
      <c r="H23" s="494">
        <v>75.749292249025487</v>
      </c>
      <c r="I23" s="494">
        <v>17.550932495527725</v>
      </c>
      <c r="J23" s="494">
        <v>93.300224744553205</v>
      </c>
      <c r="K23" s="491">
        <v>1.0243055555555556E-2</v>
      </c>
    </row>
    <row r="24" spans="1:11">
      <c r="A24" s="495" t="s">
        <v>552</v>
      </c>
      <c r="B24" s="489">
        <v>34.200000000000003</v>
      </c>
      <c r="C24" s="489">
        <v>1200</v>
      </c>
      <c r="D24" s="489">
        <v>2.8500000000000001E-2</v>
      </c>
      <c r="E24" s="493">
        <v>2.2584762149381481</v>
      </c>
      <c r="F24" s="493">
        <v>0.52328361644387966</v>
      </c>
      <c r="G24" s="493">
        <v>2.7817598313820278</v>
      </c>
      <c r="H24" s="494">
        <v>77.239886550884677</v>
      </c>
      <c r="I24" s="494">
        <v>17.896299682380686</v>
      </c>
      <c r="J24" s="494">
        <v>95.136186233265363</v>
      </c>
      <c r="K24" s="491">
        <v>1.045138888888889E-2</v>
      </c>
    </row>
    <row r="25" spans="1:11">
      <c r="A25" s="495" t="s">
        <v>550</v>
      </c>
      <c r="B25" s="489">
        <v>30.21</v>
      </c>
      <c r="C25" s="489">
        <v>1200</v>
      </c>
      <c r="D25" s="489">
        <v>2.5174999999999999E-2</v>
      </c>
      <c r="E25" s="493">
        <v>2.2584762149381481</v>
      </c>
      <c r="F25" s="493">
        <v>0.52328361644387966</v>
      </c>
      <c r="G25" s="493">
        <v>2.7817598313820278</v>
      </c>
      <c r="H25" s="494">
        <v>68.228566453281459</v>
      </c>
      <c r="I25" s="494">
        <v>15.808398052769604</v>
      </c>
      <c r="J25" s="494">
        <v>84.036964506051063</v>
      </c>
      <c r="K25" s="491">
        <v>9.2361111111111116E-3</v>
      </c>
    </row>
    <row r="26" spans="1:11" ht="30">
      <c r="A26" s="495" t="s">
        <v>613</v>
      </c>
      <c r="B26" s="489">
        <v>147.87</v>
      </c>
      <c r="C26" s="489">
        <v>1200</v>
      </c>
      <c r="D26" s="489">
        <v>0.123225</v>
      </c>
      <c r="E26" s="493">
        <v>2.2584762149381481</v>
      </c>
      <c r="F26" s="493">
        <v>0.52328361644387966</v>
      </c>
      <c r="G26" s="493">
        <v>2.7817598313820278</v>
      </c>
      <c r="H26" s="494">
        <v>333.96087790290397</v>
      </c>
      <c r="I26" s="494">
        <v>77.377948363556484</v>
      </c>
      <c r="J26" s="494">
        <v>411.33882626646044</v>
      </c>
      <c r="K26" s="491">
        <v>4.5185185185185189E-2</v>
      </c>
    </row>
    <row r="27" spans="1:11">
      <c r="A27" s="495" t="s">
        <v>555</v>
      </c>
      <c r="B27" s="489">
        <v>120.06</v>
      </c>
      <c r="C27" s="489">
        <v>1200</v>
      </c>
      <c r="D27" s="489">
        <v>0.10005</v>
      </c>
      <c r="E27" s="493">
        <v>2.2584762149381481</v>
      </c>
      <c r="F27" s="493">
        <v>0.52328361644387966</v>
      </c>
      <c r="G27" s="493">
        <v>2.7817598313820278</v>
      </c>
      <c r="H27" s="494">
        <v>271.15265436547406</v>
      </c>
      <c r="I27" s="494">
        <v>62.825430990252194</v>
      </c>
      <c r="J27" s="494">
        <v>333.97808535572625</v>
      </c>
      <c r="K27" s="491">
        <v>3.6689814814814821E-2</v>
      </c>
    </row>
    <row r="28" spans="1:11" ht="30">
      <c r="A28" s="495" t="s">
        <v>615</v>
      </c>
      <c r="B28" s="489">
        <v>147.87</v>
      </c>
      <c r="C28" s="489">
        <v>1200</v>
      </c>
      <c r="D28" s="489">
        <v>0.123225</v>
      </c>
      <c r="E28" s="493">
        <v>2.2584762149381481</v>
      </c>
      <c r="F28" s="493">
        <v>0.52328361644387966</v>
      </c>
      <c r="G28" s="493">
        <v>2.7817598313820278</v>
      </c>
      <c r="H28" s="494">
        <v>333.96087790290397</v>
      </c>
      <c r="I28" s="494">
        <v>77.377948363556484</v>
      </c>
      <c r="J28" s="494">
        <v>411.33882626646044</v>
      </c>
      <c r="K28" s="491">
        <v>4.5185185185185189E-2</v>
      </c>
    </row>
    <row r="29" spans="1:11">
      <c r="A29" s="495" t="s">
        <v>557</v>
      </c>
      <c r="B29" s="489">
        <v>119.01</v>
      </c>
      <c r="C29" s="489">
        <v>1200</v>
      </c>
      <c r="D29" s="489">
        <v>9.9174999999999999E-2</v>
      </c>
      <c r="E29" s="493">
        <v>2.2584762149381481</v>
      </c>
      <c r="F29" s="493">
        <v>0.52328361644387966</v>
      </c>
      <c r="G29" s="493">
        <v>2.7817598313820278</v>
      </c>
      <c r="H29" s="494">
        <v>268.78125433978903</v>
      </c>
      <c r="I29" s="494">
        <v>62.275983192986118</v>
      </c>
      <c r="J29" s="494">
        <v>331.05723753277516</v>
      </c>
      <c r="K29" s="491">
        <v>3.636574074074074E-2</v>
      </c>
    </row>
    <row r="30" spans="1:11" ht="30">
      <c r="A30" s="495" t="s">
        <v>616</v>
      </c>
      <c r="B30" s="489">
        <v>133.56</v>
      </c>
      <c r="C30" s="489">
        <v>1200</v>
      </c>
      <c r="D30" s="489">
        <v>0.1113</v>
      </c>
      <c r="E30" s="493">
        <v>2.2584762149381481</v>
      </c>
      <c r="F30" s="493">
        <v>0.52328361644387966</v>
      </c>
      <c r="G30" s="493">
        <v>2.7817598313820278</v>
      </c>
      <c r="H30" s="494">
        <v>301.64208326713907</v>
      </c>
      <c r="I30" s="494">
        <v>69.889759812244563</v>
      </c>
      <c r="J30" s="494">
        <v>371.53184307938363</v>
      </c>
      <c r="K30" s="491">
        <v>4.0810185185185185E-2</v>
      </c>
    </row>
    <row r="31" spans="1:11">
      <c r="A31" s="495" t="s">
        <v>562</v>
      </c>
      <c r="B31" s="489">
        <v>117</v>
      </c>
      <c r="C31" s="489">
        <v>1200</v>
      </c>
      <c r="D31" s="489">
        <v>9.7500000000000003E-2</v>
      </c>
      <c r="E31" s="493">
        <v>2.2584762149381481</v>
      </c>
      <c r="F31" s="493">
        <v>0.52328361644387966</v>
      </c>
      <c r="G31" s="493">
        <v>2.7817598313820278</v>
      </c>
      <c r="H31" s="494">
        <v>264.24171714776332</v>
      </c>
      <c r="I31" s="494">
        <v>61.224183123933919</v>
      </c>
      <c r="J31" s="494">
        <v>325.46590027169725</v>
      </c>
      <c r="K31" s="491">
        <v>3.5752314814814813E-2</v>
      </c>
    </row>
    <row r="32" spans="1:11">
      <c r="A32" s="495" t="s">
        <v>563</v>
      </c>
      <c r="B32" s="489">
        <v>117</v>
      </c>
      <c r="C32" s="489">
        <v>1200</v>
      </c>
      <c r="D32" s="489">
        <v>9.7500000000000003E-2</v>
      </c>
      <c r="E32" s="493">
        <v>2.2584762149381481</v>
      </c>
      <c r="F32" s="493">
        <v>0.52328361644387966</v>
      </c>
      <c r="G32" s="493">
        <v>2.7817598313820278</v>
      </c>
      <c r="H32" s="494">
        <v>264.24171714776332</v>
      </c>
      <c r="I32" s="494">
        <v>61.224183123933919</v>
      </c>
      <c r="J32" s="494">
        <v>325.46590027169725</v>
      </c>
      <c r="K32" s="491">
        <v>3.5752314814814813E-2</v>
      </c>
    </row>
    <row r="33" spans="1:11">
      <c r="A33" s="495" t="s">
        <v>564</v>
      </c>
      <c r="B33" s="489">
        <v>158.16</v>
      </c>
      <c r="C33" s="489">
        <v>1200</v>
      </c>
      <c r="D33" s="489">
        <v>0.1318</v>
      </c>
      <c r="E33" s="493">
        <v>2.2584762149381481</v>
      </c>
      <c r="F33" s="493">
        <v>0.52328361644387966</v>
      </c>
      <c r="G33" s="493">
        <v>2.7817598313820278</v>
      </c>
      <c r="H33" s="494">
        <v>357.20059815461752</v>
      </c>
      <c r="I33" s="494">
        <v>82.762536776764009</v>
      </c>
      <c r="J33" s="494">
        <v>439.96313493138149</v>
      </c>
      <c r="K33" s="491">
        <v>4.8321759259259266E-2</v>
      </c>
    </row>
    <row r="34" spans="1:11">
      <c r="A34" s="495" t="s">
        <v>565</v>
      </c>
      <c r="B34" s="489">
        <v>163.80000000000001</v>
      </c>
      <c r="C34" s="489">
        <v>1200</v>
      </c>
      <c r="D34" s="489">
        <v>0.13650000000000001</v>
      </c>
      <c r="E34" s="493">
        <v>2.2584762149381481</v>
      </c>
      <c r="F34" s="493">
        <v>0.52328361644387966</v>
      </c>
      <c r="G34" s="493">
        <v>2.7817598313820278</v>
      </c>
      <c r="H34" s="494">
        <v>369.93840400686867</v>
      </c>
      <c r="I34" s="494">
        <v>85.713856373507497</v>
      </c>
      <c r="J34" s="494">
        <v>455.65226038037616</v>
      </c>
      <c r="K34" s="491">
        <v>5.004629629629629E-2</v>
      </c>
    </row>
    <row r="35" spans="1:11">
      <c r="A35" s="495" t="s">
        <v>593</v>
      </c>
      <c r="B35" s="489">
        <v>338.4</v>
      </c>
      <c r="C35" s="489">
        <v>1200</v>
      </c>
      <c r="D35" s="489">
        <v>0.28199999999999997</v>
      </c>
      <c r="E35" s="493">
        <v>2.2584762149381481</v>
      </c>
      <c r="F35" s="493">
        <v>0.52328361644387966</v>
      </c>
      <c r="G35" s="493">
        <v>2.7817598313820278</v>
      </c>
      <c r="H35" s="494">
        <v>764.26835113506922</v>
      </c>
      <c r="I35" s="494">
        <v>177.07917580460887</v>
      </c>
      <c r="J35" s="494">
        <v>941.34752693967812</v>
      </c>
      <c r="K35" s="491">
        <v>0.10340277777777777</v>
      </c>
    </row>
    <row r="36" spans="1:11">
      <c r="A36" s="495" t="s">
        <v>608</v>
      </c>
      <c r="B36" s="489">
        <v>71.37</v>
      </c>
      <c r="C36" s="489">
        <v>1200</v>
      </c>
      <c r="D36" s="489">
        <v>5.9475000000000007E-2</v>
      </c>
      <c r="E36" s="493">
        <v>2.2584762149381481</v>
      </c>
      <c r="F36" s="493">
        <v>0.52328361644387966</v>
      </c>
      <c r="G36" s="493">
        <v>2.7817598313820278</v>
      </c>
      <c r="H36" s="494">
        <v>161.18744746013564</v>
      </c>
      <c r="I36" s="494">
        <v>37.346751705599694</v>
      </c>
      <c r="J36" s="494">
        <v>198.53419916573534</v>
      </c>
      <c r="K36" s="491">
        <v>2.1805555555555554E-2</v>
      </c>
    </row>
    <row r="37" spans="1:11">
      <c r="A37" s="495" t="s">
        <v>604</v>
      </c>
      <c r="B37" s="489">
        <v>70.56</v>
      </c>
      <c r="C37" s="489">
        <v>1200</v>
      </c>
      <c r="D37" s="489">
        <v>5.8800000000000005E-2</v>
      </c>
      <c r="E37" s="493">
        <v>2.2584762149381481</v>
      </c>
      <c r="F37" s="493">
        <v>0.52328361644387966</v>
      </c>
      <c r="G37" s="493">
        <v>2.7817598313820278</v>
      </c>
      <c r="H37" s="494">
        <v>159.35808172603572</v>
      </c>
      <c r="I37" s="494">
        <v>36.922891976280148</v>
      </c>
      <c r="J37" s="494">
        <v>196.28097370231589</v>
      </c>
      <c r="K37" s="491">
        <v>2.1562499999999998E-2</v>
      </c>
    </row>
    <row r="38" spans="1:11">
      <c r="A38" s="495" t="s">
        <v>582</v>
      </c>
      <c r="B38" s="489">
        <v>23.700000000000003</v>
      </c>
      <c r="C38" s="489">
        <v>1200</v>
      </c>
      <c r="D38" s="489">
        <v>1.9750000000000004E-2</v>
      </c>
      <c r="E38" s="493">
        <v>2.2584762149381481</v>
      </c>
      <c r="F38" s="493">
        <v>0.52328361644387966</v>
      </c>
      <c r="G38" s="493">
        <v>2.7817598313820278</v>
      </c>
      <c r="H38" s="494">
        <v>53.525886294034116</v>
      </c>
      <c r="I38" s="494">
        <v>12.40182170971995</v>
      </c>
      <c r="J38" s="494">
        <v>65.927708003754063</v>
      </c>
      <c r="K38" s="491">
        <v>7.2453703703703708E-3</v>
      </c>
    </row>
    <row r="39" spans="1:11">
      <c r="A39" s="495" t="s">
        <v>600</v>
      </c>
      <c r="B39" s="489">
        <v>81</v>
      </c>
      <c r="C39" s="489">
        <v>1200</v>
      </c>
      <c r="D39" s="489">
        <v>6.7500000000000004E-2</v>
      </c>
      <c r="E39" s="493">
        <v>2.2584762149381481</v>
      </c>
      <c r="F39" s="493">
        <v>0.52328361644387966</v>
      </c>
      <c r="G39" s="493">
        <v>2.7817598313820278</v>
      </c>
      <c r="H39" s="494">
        <v>182.93657340998999</v>
      </c>
      <c r="I39" s="494">
        <v>42.38597293195425</v>
      </c>
      <c r="J39" s="494">
        <v>225.32254634194425</v>
      </c>
      <c r="K39" s="491">
        <v>2.4745370370370372E-2</v>
      </c>
    </row>
    <row r="40" spans="1:11">
      <c r="A40" s="492" t="s">
        <v>328</v>
      </c>
      <c r="B40" s="489">
        <v>155.97839999999999</v>
      </c>
      <c r="C40" s="489">
        <v>300</v>
      </c>
      <c r="D40" s="489">
        <v>0.51992799999999995</v>
      </c>
      <c r="E40" s="493">
        <v>9.0339048597525942</v>
      </c>
      <c r="F40" s="493">
        <v>2.0931344657755186</v>
      </c>
      <c r="G40" s="493">
        <v>11.127039325528113</v>
      </c>
      <c r="H40" s="494">
        <v>1409.0940257764339</v>
      </c>
      <c r="I40" s="494">
        <v>326.48376495652019</v>
      </c>
      <c r="J40" s="494">
        <v>1735.5777907329541</v>
      </c>
      <c r="K40" s="491">
        <v>0.19063657407407408</v>
      </c>
    </row>
    <row r="41" spans="1:11">
      <c r="A41" s="495" t="s">
        <v>566</v>
      </c>
      <c r="B41" s="489">
        <v>21.450000000000003</v>
      </c>
      <c r="C41" s="489">
        <v>300</v>
      </c>
      <c r="D41" s="489">
        <v>7.1500000000000008E-2</v>
      </c>
      <c r="E41" s="493">
        <v>9.0339048597525924</v>
      </c>
      <c r="F41" s="493">
        <v>2.0931344657755186</v>
      </c>
      <c r="G41" s="493">
        <v>11.127039325528111</v>
      </c>
      <c r="H41" s="494">
        <v>193.77725924169314</v>
      </c>
      <c r="I41" s="494">
        <v>44.897734290884884</v>
      </c>
      <c r="J41" s="494">
        <v>238.67499353257801</v>
      </c>
      <c r="K41" s="491">
        <v>2.6215277777777778E-2</v>
      </c>
    </row>
    <row r="42" spans="1:11">
      <c r="A42" s="495" t="s">
        <v>553</v>
      </c>
      <c r="B42" s="489">
        <v>41.400000000000006</v>
      </c>
      <c r="C42" s="489">
        <v>300</v>
      </c>
      <c r="D42" s="489">
        <v>0.13800000000000001</v>
      </c>
      <c r="E42" s="493">
        <v>9.0339048597525924</v>
      </c>
      <c r="F42" s="493">
        <v>2.0931344657755186</v>
      </c>
      <c r="G42" s="493">
        <v>11.127039325528111</v>
      </c>
      <c r="H42" s="494">
        <v>374.00366119375735</v>
      </c>
      <c r="I42" s="494">
        <v>86.65576688310648</v>
      </c>
      <c r="J42" s="494">
        <v>460.65942807686383</v>
      </c>
      <c r="K42" s="491">
        <v>5.0601851851851849E-2</v>
      </c>
    </row>
    <row r="43" spans="1:11" ht="30">
      <c r="A43" s="495" t="s">
        <v>576</v>
      </c>
      <c r="B43" s="489">
        <v>11.55</v>
      </c>
      <c r="C43" s="489">
        <v>300</v>
      </c>
      <c r="D43" s="489">
        <v>3.85E-2</v>
      </c>
      <c r="E43" s="493">
        <v>9.0339048597525924</v>
      </c>
      <c r="F43" s="493">
        <v>2.0931344657755186</v>
      </c>
      <c r="G43" s="493">
        <v>11.127039325528111</v>
      </c>
      <c r="H43" s="494">
        <v>104.34160113014245</v>
      </c>
      <c r="I43" s="494">
        <v>24.17570307970724</v>
      </c>
      <c r="J43" s="494">
        <v>128.5173042098497</v>
      </c>
      <c r="K43" s="491">
        <v>1.4120370370370368E-2</v>
      </c>
    </row>
    <row r="44" spans="1:11">
      <c r="A44" s="495" t="s">
        <v>619</v>
      </c>
      <c r="B44" s="489">
        <v>40.589999999999996</v>
      </c>
      <c r="C44" s="489">
        <v>300</v>
      </c>
      <c r="D44" s="489">
        <v>0.13529999999999998</v>
      </c>
      <c r="E44" s="493">
        <v>9.0339048597525924</v>
      </c>
      <c r="F44" s="493">
        <v>2.0931344657755186</v>
      </c>
      <c r="G44" s="493">
        <v>11.127039325528111</v>
      </c>
      <c r="H44" s="494">
        <v>366.68619825735772</v>
      </c>
      <c r="I44" s="494">
        <v>84.960327965828299</v>
      </c>
      <c r="J44" s="494">
        <v>451.64652622318596</v>
      </c>
      <c r="K44" s="491">
        <v>4.9606481481481481E-2</v>
      </c>
    </row>
    <row r="45" spans="1:11">
      <c r="A45" s="495" t="s">
        <v>618</v>
      </c>
      <c r="B45" s="489">
        <v>40.589999999999996</v>
      </c>
      <c r="C45" s="489">
        <v>300</v>
      </c>
      <c r="D45" s="489">
        <v>0.13529999999999998</v>
      </c>
      <c r="E45" s="493">
        <v>9.0339048597525924</v>
      </c>
      <c r="F45" s="493">
        <v>2.0931344657755186</v>
      </c>
      <c r="G45" s="493">
        <v>11.127039325528111</v>
      </c>
      <c r="H45" s="494">
        <v>366.68619825735772</v>
      </c>
      <c r="I45" s="494">
        <v>84.960327965828299</v>
      </c>
      <c r="J45" s="494">
        <v>451.64652622318596</v>
      </c>
      <c r="K45" s="491">
        <v>4.9606481481481481E-2</v>
      </c>
    </row>
    <row r="46" spans="1:11">
      <c r="A46" s="495" t="s">
        <v>297</v>
      </c>
      <c r="B46" s="489">
        <v>0.39840000000000003</v>
      </c>
      <c r="C46" s="489">
        <v>300</v>
      </c>
      <c r="D46" s="489">
        <v>1.3280000000000002E-3</v>
      </c>
      <c r="E46" s="493">
        <v>9.0339048597525924</v>
      </c>
      <c r="F46" s="493">
        <v>2.0931344657755186</v>
      </c>
      <c r="G46" s="493">
        <v>11.127039325528111</v>
      </c>
      <c r="H46" s="494">
        <v>3.5991076961254329</v>
      </c>
      <c r="I46" s="494">
        <v>0.83390477116496675</v>
      </c>
      <c r="J46" s="494">
        <v>4.4330124672903999</v>
      </c>
      <c r="K46" s="491">
        <v>4.8611111111111104E-4</v>
      </c>
    </row>
    <row r="47" spans="1:11" ht="29.25">
      <c r="A47" s="492" t="s">
        <v>329</v>
      </c>
      <c r="B47" s="489">
        <v>424.5</v>
      </c>
      <c r="C47" s="489">
        <v>2700</v>
      </c>
      <c r="D47" s="489">
        <v>0.15722222222222224</v>
      </c>
      <c r="E47" s="493">
        <v>1.003767206639177</v>
      </c>
      <c r="F47" s="493">
        <v>0.23257049619727979</v>
      </c>
      <c r="G47" s="493">
        <v>1.2363377028364568</v>
      </c>
      <c r="H47" s="494">
        <v>426.09917921833068</v>
      </c>
      <c r="I47" s="494">
        <v>98.726175635745278</v>
      </c>
      <c r="J47" s="494">
        <v>524.82535485407595</v>
      </c>
      <c r="K47" s="491">
        <v>5.7650462962962966E-2</v>
      </c>
    </row>
    <row r="48" spans="1:11" ht="30">
      <c r="A48" s="495" t="s">
        <v>598</v>
      </c>
      <c r="B48" s="489">
        <v>16.16</v>
      </c>
      <c r="C48" s="489">
        <v>2700</v>
      </c>
      <c r="D48" s="489">
        <v>5.9851851851851854E-3</v>
      </c>
      <c r="E48" s="493">
        <v>1.003767206639177</v>
      </c>
      <c r="F48" s="493">
        <v>0.23257049619727979</v>
      </c>
      <c r="G48" s="493">
        <v>1.2363377028364568</v>
      </c>
      <c r="H48" s="494">
        <v>16.220878059289099</v>
      </c>
      <c r="I48" s="494">
        <v>3.7583392185480413</v>
      </c>
      <c r="J48" s="494">
        <v>19.979217277837144</v>
      </c>
      <c r="K48" s="491">
        <v>2.1990740740740742E-3</v>
      </c>
    </row>
    <row r="49" spans="1:11">
      <c r="A49" s="495" t="s">
        <v>590</v>
      </c>
      <c r="B49" s="489">
        <v>3.38</v>
      </c>
      <c r="C49" s="489">
        <v>2700</v>
      </c>
      <c r="D49" s="489">
        <v>1.2518518518518519E-3</v>
      </c>
      <c r="E49" s="493">
        <v>1.003767206639177</v>
      </c>
      <c r="F49" s="493">
        <v>0.23257049619727979</v>
      </c>
      <c r="G49" s="493">
        <v>1.2363377028364568</v>
      </c>
      <c r="H49" s="494">
        <v>3.3927331584404179</v>
      </c>
      <c r="I49" s="494">
        <v>0.78608827714680563</v>
      </c>
      <c r="J49" s="494">
        <v>4.1788214355872242</v>
      </c>
      <c r="K49" s="491">
        <v>4.6296296296296293E-4</v>
      </c>
    </row>
    <row r="50" spans="1:11">
      <c r="A50" s="495" t="s">
        <v>558</v>
      </c>
      <c r="B50" s="489">
        <v>10.56</v>
      </c>
      <c r="C50" s="489">
        <v>2700</v>
      </c>
      <c r="D50" s="489">
        <v>3.9111111111111109E-3</v>
      </c>
      <c r="E50" s="493">
        <v>1.003767206639177</v>
      </c>
      <c r="F50" s="493">
        <v>0.23257049619727979</v>
      </c>
      <c r="G50" s="493">
        <v>1.2363377028364568</v>
      </c>
      <c r="H50" s="494">
        <v>10.599781702109709</v>
      </c>
      <c r="I50" s="494">
        <v>2.4559444398432748</v>
      </c>
      <c r="J50" s="494">
        <v>13.055726141952984</v>
      </c>
      <c r="K50" s="491">
        <v>1.4351851851851854E-3</v>
      </c>
    </row>
    <row r="51" spans="1:11">
      <c r="A51" s="495" t="s">
        <v>561</v>
      </c>
      <c r="B51" s="489">
        <v>30.8</v>
      </c>
      <c r="C51" s="489">
        <v>2700</v>
      </c>
      <c r="D51" s="489">
        <v>1.1407407407407408E-2</v>
      </c>
      <c r="E51" s="493">
        <v>1.003767206639177</v>
      </c>
      <c r="F51" s="493">
        <v>0.23257049619727979</v>
      </c>
      <c r="G51" s="493">
        <v>1.2363377028364568</v>
      </c>
      <c r="H51" s="494">
        <v>30.916029964486651</v>
      </c>
      <c r="I51" s="494">
        <v>7.1631712828762177</v>
      </c>
      <c r="J51" s="494">
        <v>38.079201247362874</v>
      </c>
      <c r="K51" s="491">
        <v>4.1782407407407402E-3</v>
      </c>
    </row>
    <row r="52" spans="1:11" ht="30">
      <c r="A52" s="495" t="s">
        <v>595</v>
      </c>
      <c r="B52" s="489">
        <v>363.6</v>
      </c>
      <c r="C52" s="489">
        <v>2700</v>
      </c>
      <c r="D52" s="489">
        <v>0.13466666666666668</v>
      </c>
      <c r="E52" s="493">
        <v>1.003767206639177</v>
      </c>
      <c r="F52" s="493">
        <v>0.23257049619727979</v>
      </c>
      <c r="G52" s="493">
        <v>1.2363377028364568</v>
      </c>
      <c r="H52" s="494">
        <v>364.96975633400479</v>
      </c>
      <c r="I52" s="494">
        <v>84.562632417330931</v>
      </c>
      <c r="J52" s="494">
        <v>449.53238875133576</v>
      </c>
      <c r="K52" s="491">
        <v>4.9375000000000002E-2</v>
      </c>
    </row>
    <row r="53" spans="1:11" ht="29.25">
      <c r="A53" s="492" t="s">
        <v>335</v>
      </c>
      <c r="B53" s="489">
        <v>99.64</v>
      </c>
      <c r="C53" s="489">
        <v>160</v>
      </c>
      <c r="D53" s="489">
        <v>0.62275000000000003</v>
      </c>
      <c r="E53" s="493">
        <v>16.93857161203611</v>
      </c>
      <c r="F53" s="493">
        <v>3.9246271233290972</v>
      </c>
      <c r="G53" s="493">
        <v>20.863198735365209</v>
      </c>
      <c r="H53" s="494">
        <v>1687.759275423278</v>
      </c>
      <c r="I53" s="494">
        <v>391.04984656851127</v>
      </c>
      <c r="J53" s="494">
        <v>2078.8091219917897</v>
      </c>
      <c r="K53" s="491">
        <v>0.2283449074074074</v>
      </c>
    </row>
    <row r="54" spans="1:11">
      <c r="A54" s="495" t="s">
        <v>611</v>
      </c>
      <c r="B54" s="489">
        <v>99.64</v>
      </c>
      <c r="C54" s="489">
        <v>160</v>
      </c>
      <c r="D54" s="489">
        <v>0.62275000000000003</v>
      </c>
      <c r="E54" s="493">
        <v>16.93857161203611</v>
      </c>
      <c r="F54" s="493">
        <v>3.9246271233290972</v>
      </c>
      <c r="G54" s="493">
        <v>20.863198735365209</v>
      </c>
      <c r="H54" s="494">
        <v>1687.759275423278</v>
      </c>
      <c r="I54" s="494">
        <v>391.04984656851127</v>
      </c>
      <c r="J54" s="494">
        <v>2078.8091219917897</v>
      </c>
      <c r="K54" s="491">
        <v>0.2283449074074074</v>
      </c>
    </row>
    <row r="55" spans="1:11">
      <c r="A55" s="492" t="s">
        <v>337</v>
      </c>
      <c r="B55" s="489">
        <v>21.8</v>
      </c>
      <c r="C55" s="489">
        <v>380</v>
      </c>
      <c r="D55" s="489">
        <v>5.7368421052631582E-2</v>
      </c>
      <c r="E55" s="493">
        <v>7.1320301524362568</v>
      </c>
      <c r="F55" s="493">
        <v>1.6524745782438302</v>
      </c>
      <c r="G55" s="493">
        <v>8.7845047306800872</v>
      </c>
      <c r="H55" s="494">
        <v>155.4782573231104</v>
      </c>
      <c r="I55" s="494">
        <v>36.023945805715499</v>
      </c>
      <c r="J55" s="494">
        <v>191.5022031288259</v>
      </c>
      <c r="K55" s="491">
        <v>2.1030092592592597E-2</v>
      </c>
    </row>
    <row r="56" spans="1:11">
      <c r="A56" s="495" t="s">
        <v>587</v>
      </c>
      <c r="B56" s="489">
        <v>21.8</v>
      </c>
      <c r="C56" s="489">
        <v>380</v>
      </c>
      <c r="D56" s="489">
        <v>5.7368421052631582E-2</v>
      </c>
      <c r="E56" s="493">
        <v>7.1320301524362568</v>
      </c>
      <c r="F56" s="493">
        <v>1.6524745782438302</v>
      </c>
      <c r="G56" s="493">
        <v>8.7845047306800872</v>
      </c>
      <c r="H56" s="494">
        <v>155.4782573231104</v>
      </c>
      <c r="I56" s="494">
        <v>36.023945805715499</v>
      </c>
      <c r="J56" s="494">
        <v>191.5022031288259</v>
      </c>
      <c r="K56" s="491">
        <v>2.1030092592592597E-2</v>
      </c>
    </row>
    <row r="57" spans="1:11">
      <c r="A57" s="492" t="s">
        <v>338</v>
      </c>
      <c r="B57" s="489">
        <v>22.42</v>
      </c>
      <c r="C57" s="489">
        <v>160</v>
      </c>
      <c r="D57" s="489">
        <v>0.140125</v>
      </c>
      <c r="E57" s="493">
        <v>16.93857161203611</v>
      </c>
      <c r="F57" s="493">
        <v>3.9246271233290972</v>
      </c>
      <c r="G57" s="493">
        <v>20.863198735365209</v>
      </c>
      <c r="H57" s="494">
        <v>379.76277554184963</v>
      </c>
      <c r="I57" s="494">
        <v>87.990140105038364</v>
      </c>
      <c r="J57" s="494">
        <v>467.75291564688803</v>
      </c>
      <c r="K57" s="491">
        <v>5.1377314814814813E-2</v>
      </c>
    </row>
    <row r="58" spans="1:11">
      <c r="A58" s="495" t="s">
        <v>296</v>
      </c>
      <c r="B58" s="489">
        <v>22.42</v>
      </c>
      <c r="C58" s="489">
        <v>160</v>
      </c>
      <c r="D58" s="489">
        <v>0.140125</v>
      </c>
      <c r="E58" s="493">
        <v>16.93857161203611</v>
      </c>
      <c r="F58" s="493">
        <v>3.9246271233290972</v>
      </c>
      <c r="G58" s="493">
        <v>20.863198735365209</v>
      </c>
      <c r="H58" s="494">
        <v>379.76277554184963</v>
      </c>
      <c r="I58" s="494">
        <v>87.990140105038364</v>
      </c>
      <c r="J58" s="494">
        <v>467.75291564688803</v>
      </c>
      <c r="K58" s="491">
        <v>5.1377314814814813E-2</v>
      </c>
    </row>
    <row r="59" spans="1:11">
      <c r="A59" s="492" t="s">
        <v>227</v>
      </c>
      <c r="B59" s="489">
        <v>4252.1404000000011</v>
      </c>
      <c r="C59" s="489">
        <v>1115.8367346938776</v>
      </c>
      <c r="D59" s="489">
        <v>5.0002919299881414</v>
      </c>
      <c r="E59" s="493">
        <v>4.0820467056714191</v>
      </c>
      <c r="F59" s="493">
        <v>0.94580060153304202</v>
      </c>
      <c r="G59" s="493">
        <v>5.027847307204464</v>
      </c>
      <c r="H59" s="494">
        <v>13551.648469950454</v>
      </c>
      <c r="I59" s="494">
        <v>3139.8850132792086</v>
      </c>
      <c r="J59" s="494">
        <v>16691.533483229672</v>
      </c>
      <c r="K59" s="491">
        <v>1.8334490740740734</v>
      </c>
    </row>
  </sheetData>
  <pageMargins left="0.511811024" right="0.511811024" top="0.78740157499999996" bottom="0.78740157499999996" header="0.31496062000000002" footer="0.3149606200000000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249977111117893"/>
  </sheetPr>
  <dimension ref="A1:HK13"/>
  <sheetViews>
    <sheetView showGridLines="0" topLeftCell="D1" zoomScaleNormal="100" workbookViewId="0">
      <selection activeCell="H5" sqref="H5"/>
    </sheetView>
  </sheetViews>
  <sheetFormatPr defaultColWidth="9.140625" defaultRowHeight="15"/>
  <cols>
    <col min="1" max="1" width="11" style="367" customWidth="1"/>
    <col min="2" max="2" width="37.85546875" style="367" customWidth="1"/>
    <col min="3" max="3" width="13.140625" style="367" customWidth="1"/>
    <col min="4" max="4" width="18.85546875" style="367" customWidth="1"/>
    <col min="5" max="5" width="14.5703125" style="371" customWidth="1"/>
    <col min="6" max="6" width="21.140625" style="372" customWidth="1"/>
    <col min="7" max="7" width="19.42578125" style="372" customWidth="1"/>
    <col min="8" max="8" width="17.5703125" style="372" customWidth="1"/>
    <col min="9" max="10" width="16.42578125" style="372" customWidth="1"/>
    <col min="11" max="11" width="21.140625" style="372" bestFit="1" customWidth="1"/>
    <col min="12" max="12" width="13.7109375" style="367" bestFit="1" customWidth="1"/>
    <col min="13" max="13" width="18.5703125" style="374" customWidth="1"/>
    <col min="14" max="219" width="9.140625" style="366"/>
    <col min="220" max="16384" width="9.140625" style="367"/>
  </cols>
  <sheetData>
    <row r="1" spans="1:13" s="360" customFormat="1" ht="42.75">
      <c r="A1" s="358" t="s">
        <v>21</v>
      </c>
      <c r="B1" s="358" t="s">
        <v>228</v>
      </c>
      <c r="C1" s="358" t="s">
        <v>350</v>
      </c>
      <c r="D1" s="358" t="s">
        <v>352</v>
      </c>
      <c r="E1" s="358" t="s">
        <v>242</v>
      </c>
      <c r="F1" s="359" t="s">
        <v>695</v>
      </c>
      <c r="G1" s="359" t="s">
        <v>696</v>
      </c>
      <c r="H1" s="359" t="s">
        <v>697</v>
      </c>
      <c r="I1" s="359" t="s">
        <v>698</v>
      </c>
      <c r="J1" s="359" t="s">
        <v>699</v>
      </c>
      <c r="K1" s="359" t="s">
        <v>700</v>
      </c>
      <c r="L1" s="358" t="s">
        <v>120</v>
      </c>
      <c r="M1" s="359" t="s">
        <v>299</v>
      </c>
    </row>
    <row r="2" spans="1:13">
      <c r="A2" s="361">
        <v>1</v>
      </c>
      <c r="B2" s="362" t="s">
        <v>323</v>
      </c>
      <c r="C2" s="363">
        <f>IF(Tabela7[[#This Row],[Tipo da Área]]="","",VLOOKUP(Tabela7[[#This Row],[Tipo da Área]],'TABELA DE ATUALIZAÇÃO PROPOSTA'!$A$3:$K$59,2,FALSE))</f>
        <v>3199.4219999999996</v>
      </c>
      <c r="D2" s="363">
        <f>VLOOKUP(Tabela7[[#This Row],[Tipo da Área]],'TABELA DE ATUALIZAÇÃO PROPOSTA'!$A$4:$K$60,3,FALSE)</f>
        <v>1200</v>
      </c>
      <c r="E2" s="363">
        <f>IF(Tabela7[[#This Row],[Tipo da Área]]="","",VLOOKUP(Tabela7[[#This Row],[Tipo da Área]],'TABELA DE ATUALIZAÇÃO PROPOSTA'!$A$3:$K$59,4,FALSE))</f>
        <v>2.6661849999999996</v>
      </c>
      <c r="F2" s="359">
        <f>IF(Tabela7[[#This Row],[Tipo da Área]]="","",VLOOKUP(Tabela7[[#This Row],[Tipo da Área]],'TABELA DE ATUALIZAÇÃO PROPOSTA'!$A$3:$K$59,5,FALSE))</f>
        <v>2.2584762149381481</v>
      </c>
      <c r="G2" s="359">
        <f>IF(Tabela7[[#This Row],[Tipo da Área]]="","",VLOOKUP(Tabela7[[#This Row],[Tipo da Área]],'TABELA DE ATUALIZAÇÃO PROPOSTA'!$A$3:$K$59,6,FALSE))</f>
        <v>0.52328361644388</v>
      </c>
      <c r="H2" s="359">
        <f>IF(Tabela7[[#This Row],[Tipo da Área]]="","",VLOOKUP(Tabela7[[#This Row],[Tipo da Área]],'TABELA DE ATUALIZAÇÃO PROPOSTA'!$A$3:$K$59,7,FALSE))</f>
        <v>2.7817598313820286</v>
      </c>
      <c r="I2" s="359">
        <f>IF(Tabela7[[#This Row],[Tipo da Área]]="","",VLOOKUP(Tabela7[[#This Row],[Tipo da Área]],'TABELA DE ATUALIZAÇÃO PROPOSTA'!$A$3:$K$59,8,FALSE))</f>
        <v>7225.8184885498404</v>
      </c>
      <c r="J2" s="359">
        <f>IF(Tabela7[[#This Row],[Tipo da Área]]="","",VLOOKUP(Tabela7[[#This Row],[Tipo da Área]],'TABELA DE ATUALIZAÇÃO PROPOSTA'!$A$3:$K$59,9,FALSE))</f>
        <v>1674.2051146901103</v>
      </c>
      <c r="K2" s="359">
        <f>IF(Tabela7[[#This Row],[Tipo da Área]]="","",VLOOKUP(Tabela7[[#This Row],[Tipo da Área]],'TABELA DE ATUALIZAÇÃO PROPOSTA'!$A$3:$K$59,10,FALSE))</f>
        <v>8900.023603239948</v>
      </c>
      <c r="L2" s="364">
        <v>12</v>
      </c>
      <c r="M2" s="365">
        <f>Tabela7[[#This Row],[Meses do Contrato]]*Tabela7[[#This Row],[Remuneração Mensal Total]]</f>
        <v>106800.28323887938</v>
      </c>
    </row>
    <row r="3" spans="1:13">
      <c r="A3" s="361">
        <v>2</v>
      </c>
      <c r="B3" s="362" t="s">
        <v>324</v>
      </c>
      <c r="C3" s="363">
        <f>IF(Tabela7[[#This Row],[Tipo da Área]]="","",VLOOKUP(Tabela7[[#This Row],[Tipo da Área]],'TABELA DE ATUALIZAÇÃO PROPOSTA'!$A$3:$K$59,2,FALSE))</f>
        <v>328.38</v>
      </c>
      <c r="D3" s="363">
        <f>VLOOKUP(Tabela7[[#This Row],[Tipo da Área]],'TABELA DE ATUALIZAÇÃO PROPOSTA'!$A$4:$K$60,3,FALSE)</f>
        <v>392</v>
      </c>
      <c r="E3" s="363">
        <f>IF(Tabela7[[#This Row],[Tipo da Área]]="","",VLOOKUP(Tabela7[[#This Row],[Tipo da Área]],'TABELA DE ATUALIZAÇÃO PROPOSTA'!$A$3:$K$59,4,FALSE))</f>
        <v>0.83671328671328671</v>
      </c>
      <c r="F3" s="359">
        <f>IF(Tabela7[[#This Row],[Tipo da Área]]="","",VLOOKUP(Tabela7[[#This Row],[Tipo da Área]],'TABELA DE ATUALIZAÇÃO PROPOSTA'!$A$3:$K$59,5,FALSE))</f>
        <v>6.9140608289481769</v>
      </c>
      <c r="G3" s="359">
        <f>IF(Tabela7[[#This Row],[Tipo da Área]]="","",VLOOKUP(Tabela7[[#This Row],[Tipo da Área]],'TABELA DE ATUALIZAÇÃO PROPOSTA'!$A$3:$K$59,6,FALSE))</f>
        <v>1.6019715996805637</v>
      </c>
      <c r="H3" s="359">
        <f>IF(Tabela7[[#This Row],[Tipo da Área]]="","",VLOOKUP(Tabela7[[#This Row],[Tipo da Área]],'TABELA DE ATUALIZAÇÃO PROPOSTA'!$A$3:$K$59,7,FALSE))</f>
        <v>8.5160324286287423</v>
      </c>
      <c r="I3" s="359">
        <f>IF(Tabela7[[#This Row],[Tipo da Área]]="","",VLOOKUP(Tabela7[[#This Row],[Tipo da Área]],'TABELA DE ATUALIZAÇÃO PROPOSTA'!$A$3:$K$59,8,FALSE))</f>
        <v>2267.6364681176178</v>
      </c>
      <c r="J3" s="359">
        <f>IF(Tabela7[[#This Row],[Tipo da Área]]="","",VLOOKUP(Tabela7[[#This Row],[Tipo da Área]],'TABELA DE ATUALIZAÇÃO PROPOSTA'!$A$3:$K$59,9,FALSE))</f>
        <v>525.40602551756808</v>
      </c>
      <c r="K3" s="359">
        <f>IF(Tabela7[[#This Row],[Tipo da Área]]="","",VLOOKUP(Tabela7[[#This Row],[Tipo da Área]],'TABELA DE ATUALIZAÇÃO PROPOSTA'!$A$3:$K$59,10,FALSE))</f>
        <v>2793.0424936351856</v>
      </c>
      <c r="L3" s="364">
        <v>12</v>
      </c>
      <c r="M3" s="365">
        <f>Tabela7[[#This Row],[Meses do Contrato]]*Tabela7[[#This Row],[Remuneração Mensal Total]]</f>
        <v>33516.50992362223</v>
      </c>
    </row>
    <row r="4" spans="1:13">
      <c r="A4" s="361">
        <v>3</v>
      </c>
      <c r="B4" s="362" t="s">
        <v>328</v>
      </c>
      <c r="C4" s="363">
        <f>IF(Tabela7[[#This Row],[Tipo da Área]]="","",VLOOKUP(Tabela7[[#This Row],[Tipo da Área]],'TABELA DE ATUALIZAÇÃO PROPOSTA'!$A$3:$K$59,2,FALSE))</f>
        <v>155.97839999999999</v>
      </c>
      <c r="D4" s="363">
        <f>VLOOKUP(Tabela7[[#This Row],[Tipo da Área]],'TABELA DE ATUALIZAÇÃO PROPOSTA'!$A$4:$K$60,3,FALSE)</f>
        <v>300</v>
      </c>
      <c r="E4" s="363">
        <f>IF(Tabela7[[#This Row],[Tipo da Área]]="","",VLOOKUP(Tabela7[[#This Row],[Tipo da Área]],'TABELA DE ATUALIZAÇÃO PROPOSTA'!$A$3:$K$59,4,FALSE))</f>
        <v>0.51992799999999995</v>
      </c>
      <c r="F4" s="359">
        <f>IF(Tabela7[[#This Row],[Tipo da Área]]="","",VLOOKUP(Tabela7[[#This Row],[Tipo da Área]],'TABELA DE ATUALIZAÇÃO PROPOSTA'!$A$3:$K$59,5,FALSE))</f>
        <v>9.0339048597525942</v>
      </c>
      <c r="G4" s="359">
        <f>IF(Tabela7[[#This Row],[Tipo da Área]]="","",VLOOKUP(Tabela7[[#This Row],[Tipo da Área]],'TABELA DE ATUALIZAÇÃO PROPOSTA'!$A$3:$K$59,6,FALSE))</f>
        <v>2.0931344657755186</v>
      </c>
      <c r="H4" s="359">
        <f>IF(Tabela7[[#This Row],[Tipo da Área]]="","",VLOOKUP(Tabela7[[#This Row],[Tipo da Área]],'TABELA DE ATUALIZAÇÃO PROPOSTA'!$A$3:$K$59,7,FALSE))</f>
        <v>11.127039325528113</v>
      </c>
      <c r="I4" s="359">
        <f>IF(Tabela7[[#This Row],[Tipo da Área]]="","",VLOOKUP(Tabela7[[#This Row],[Tipo da Área]],'TABELA DE ATUALIZAÇÃO PROPOSTA'!$A$3:$K$59,8,FALSE))</f>
        <v>1409.0940257764339</v>
      </c>
      <c r="J4" s="359">
        <f>IF(Tabela7[[#This Row],[Tipo da Área]]="","",VLOOKUP(Tabela7[[#This Row],[Tipo da Área]],'TABELA DE ATUALIZAÇÃO PROPOSTA'!$A$3:$K$59,9,FALSE))</f>
        <v>326.48376495652019</v>
      </c>
      <c r="K4" s="359">
        <f>IF(Tabela7[[#This Row],[Tipo da Área]]="","",VLOOKUP(Tabela7[[#This Row],[Tipo da Área]],'TABELA DE ATUALIZAÇÃO PROPOSTA'!$A$3:$K$59,10,FALSE))</f>
        <v>1735.5777907329541</v>
      </c>
      <c r="L4" s="364">
        <v>12</v>
      </c>
      <c r="M4" s="365">
        <f>Tabela7[[#This Row],[Meses do Contrato]]*Tabela7[[#This Row],[Remuneração Mensal Total]]</f>
        <v>20826.93348879545</v>
      </c>
    </row>
    <row r="5" spans="1:13" ht="28.5">
      <c r="A5" s="361">
        <v>4</v>
      </c>
      <c r="B5" s="362" t="s">
        <v>329</v>
      </c>
      <c r="C5" s="363">
        <f>IF(Tabela7[[#This Row],[Tipo da Área]]="","",VLOOKUP(Tabela7[[#This Row],[Tipo da Área]],'TABELA DE ATUALIZAÇÃO PROPOSTA'!$A$3:$K$59,2,FALSE))</f>
        <v>424.5</v>
      </c>
      <c r="D5" s="363">
        <f>VLOOKUP(Tabela7[[#This Row],[Tipo da Área]],'TABELA DE ATUALIZAÇÃO PROPOSTA'!$A$4:$K$60,3,FALSE)</f>
        <v>2700</v>
      </c>
      <c r="E5" s="363">
        <f>IF(Tabela7[[#This Row],[Tipo da Área]]="","",VLOOKUP(Tabela7[[#This Row],[Tipo da Área]],'TABELA DE ATUALIZAÇÃO PROPOSTA'!$A$3:$K$59,4,FALSE))</f>
        <v>0.15722222222222224</v>
      </c>
      <c r="F5" s="359">
        <f>IF(Tabela7[[#This Row],[Tipo da Área]]="","",VLOOKUP(Tabela7[[#This Row],[Tipo da Área]],'TABELA DE ATUALIZAÇÃO PROPOSTA'!$A$3:$K$59,5,FALSE))</f>
        <v>1.003767206639177</v>
      </c>
      <c r="G5" s="359">
        <f>IF(Tabela7[[#This Row],[Tipo da Área]]="","",VLOOKUP(Tabela7[[#This Row],[Tipo da Área]],'TABELA DE ATUALIZAÇÃO PROPOSTA'!$A$3:$K$59,6,FALSE))</f>
        <v>0.23257049619727979</v>
      </c>
      <c r="H5" s="359">
        <f>IF(Tabela7[[#This Row],[Tipo da Área]]="","",VLOOKUP(Tabela7[[#This Row],[Tipo da Área]],'TABELA DE ATUALIZAÇÃO PROPOSTA'!$A$3:$K$59,7,FALSE))</f>
        <v>1.2363377028364568</v>
      </c>
      <c r="I5" s="359">
        <f>IF(Tabela7[[#This Row],[Tipo da Área]]="","",VLOOKUP(Tabela7[[#This Row],[Tipo da Área]],'TABELA DE ATUALIZAÇÃO PROPOSTA'!$A$3:$K$59,8,FALSE))</f>
        <v>426.09917921833068</v>
      </c>
      <c r="J5" s="359">
        <f>IF(Tabela7[[#This Row],[Tipo da Área]]="","",VLOOKUP(Tabela7[[#This Row],[Tipo da Área]],'TABELA DE ATUALIZAÇÃO PROPOSTA'!$A$3:$K$59,9,FALSE))</f>
        <v>98.726175635745278</v>
      </c>
      <c r="K5" s="359">
        <f>IF(Tabela7[[#This Row],[Tipo da Área]]="","",VLOOKUP(Tabela7[[#This Row],[Tipo da Área]],'TABELA DE ATUALIZAÇÃO PROPOSTA'!$A$3:$K$59,10,FALSE))</f>
        <v>524.82535485407595</v>
      </c>
      <c r="L5" s="364">
        <v>12</v>
      </c>
      <c r="M5" s="365">
        <f>Tabela7[[#This Row],[Meses do Contrato]]*Tabela7[[#This Row],[Remuneração Mensal Total]]</f>
        <v>6297.904258248911</v>
      </c>
    </row>
    <row r="6" spans="1:13" ht="28.5">
      <c r="A6" s="361">
        <v>5</v>
      </c>
      <c r="B6" s="362" t="s">
        <v>335</v>
      </c>
      <c r="C6" s="363">
        <f>IF(Tabela7[[#This Row],[Tipo da Área]]="","",VLOOKUP(Tabela7[[#This Row],[Tipo da Área]],'TABELA DE ATUALIZAÇÃO PROPOSTA'!$A$3:$K$59,2,FALSE))</f>
        <v>99.64</v>
      </c>
      <c r="D6" s="363">
        <f>VLOOKUP(Tabela7[[#This Row],[Tipo da Área]],'TABELA DE ATUALIZAÇÃO PROPOSTA'!$A$4:$K$60,3,FALSE)</f>
        <v>160</v>
      </c>
      <c r="E6" s="363">
        <f>IF(Tabela7[[#This Row],[Tipo da Área]]="","",VLOOKUP(Tabela7[[#This Row],[Tipo da Área]],'TABELA DE ATUALIZAÇÃO PROPOSTA'!$A$3:$K$59,4,FALSE))</f>
        <v>0.62275000000000003</v>
      </c>
      <c r="F6" s="359">
        <f>IF(Tabela7[[#This Row],[Tipo da Área]]="","",VLOOKUP(Tabela7[[#This Row],[Tipo da Área]],'TABELA DE ATUALIZAÇÃO PROPOSTA'!$A$3:$K$59,5,FALSE))</f>
        <v>16.93857161203611</v>
      </c>
      <c r="G6" s="359">
        <f>IF(Tabela7[[#This Row],[Tipo da Área]]="","",VLOOKUP(Tabela7[[#This Row],[Tipo da Área]],'TABELA DE ATUALIZAÇÃO PROPOSTA'!$A$3:$K$59,6,FALSE))</f>
        <v>3.9246271233290972</v>
      </c>
      <c r="H6" s="359">
        <f>IF(Tabela7[[#This Row],[Tipo da Área]]="","",VLOOKUP(Tabela7[[#This Row],[Tipo da Área]],'TABELA DE ATUALIZAÇÃO PROPOSTA'!$A$3:$K$59,7,FALSE))</f>
        <v>20.863198735365209</v>
      </c>
      <c r="I6" s="359">
        <f>IF(Tabela7[[#This Row],[Tipo da Área]]="","",VLOOKUP(Tabela7[[#This Row],[Tipo da Área]],'TABELA DE ATUALIZAÇÃO PROPOSTA'!$A$3:$K$59,8,FALSE))</f>
        <v>1687.759275423278</v>
      </c>
      <c r="J6" s="359">
        <f>IF(Tabela7[[#This Row],[Tipo da Área]]="","",VLOOKUP(Tabela7[[#This Row],[Tipo da Área]],'TABELA DE ATUALIZAÇÃO PROPOSTA'!$A$3:$K$59,9,FALSE))</f>
        <v>391.04984656851127</v>
      </c>
      <c r="K6" s="359">
        <f>IF(Tabela7[[#This Row],[Tipo da Área]]="","",VLOOKUP(Tabela7[[#This Row],[Tipo da Área]],'TABELA DE ATUALIZAÇÃO PROPOSTA'!$A$3:$K$59,10,FALSE))</f>
        <v>2078.8091219917897</v>
      </c>
      <c r="L6" s="364">
        <v>12</v>
      </c>
      <c r="M6" s="365">
        <f>Tabela7[[#This Row],[Meses do Contrato]]*Tabela7[[#This Row],[Remuneração Mensal Total]]</f>
        <v>24945.709463901476</v>
      </c>
    </row>
    <row r="7" spans="1:13">
      <c r="A7" s="361">
        <v>6</v>
      </c>
      <c r="B7" s="362" t="s">
        <v>337</v>
      </c>
      <c r="C7" s="363">
        <f>IF(Tabela7[[#This Row],[Tipo da Área]]="","",VLOOKUP(Tabela7[[#This Row],[Tipo da Área]],'TABELA DE ATUALIZAÇÃO PROPOSTA'!$A$3:$K$59,2,FALSE))</f>
        <v>21.8</v>
      </c>
      <c r="D7" s="363">
        <f>VLOOKUP(Tabela7[[#This Row],[Tipo da Área]],'TABELA DE ATUALIZAÇÃO PROPOSTA'!$A$4:$K$60,3,FALSE)</f>
        <v>380</v>
      </c>
      <c r="E7" s="363">
        <f>IF(Tabela7[[#This Row],[Tipo da Área]]="","",VLOOKUP(Tabela7[[#This Row],[Tipo da Área]],'TABELA DE ATUALIZAÇÃO PROPOSTA'!$A$3:$K$59,4,FALSE))</f>
        <v>5.7368421052631582E-2</v>
      </c>
      <c r="F7" s="359">
        <f>IF(Tabela7[[#This Row],[Tipo da Área]]="","",VLOOKUP(Tabela7[[#This Row],[Tipo da Área]],'TABELA DE ATUALIZAÇÃO PROPOSTA'!$A$3:$K$59,5,FALSE))</f>
        <v>7.1320301524362568</v>
      </c>
      <c r="G7" s="359">
        <f>IF(Tabela7[[#This Row],[Tipo da Área]]="","",VLOOKUP(Tabela7[[#This Row],[Tipo da Área]],'TABELA DE ATUALIZAÇÃO PROPOSTA'!$A$3:$K$59,6,FALSE))</f>
        <v>1.6524745782438302</v>
      </c>
      <c r="H7" s="359">
        <f>IF(Tabela7[[#This Row],[Tipo da Área]]="","",VLOOKUP(Tabela7[[#This Row],[Tipo da Área]],'TABELA DE ATUALIZAÇÃO PROPOSTA'!$A$3:$K$59,7,FALSE))</f>
        <v>8.7845047306800872</v>
      </c>
      <c r="I7" s="359">
        <f>IF(Tabela7[[#This Row],[Tipo da Área]]="","",VLOOKUP(Tabela7[[#This Row],[Tipo da Área]],'TABELA DE ATUALIZAÇÃO PROPOSTA'!$A$3:$K$59,8,FALSE))</f>
        <v>155.4782573231104</v>
      </c>
      <c r="J7" s="359">
        <f>IF(Tabela7[[#This Row],[Tipo da Área]]="","",VLOOKUP(Tabela7[[#This Row],[Tipo da Área]],'TABELA DE ATUALIZAÇÃO PROPOSTA'!$A$3:$K$59,9,FALSE))</f>
        <v>36.023945805715499</v>
      </c>
      <c r="K7" s="359">
        <f>IF(Tabela7[[#This Row],[Tipo da Área]]="","",VLOOKUP(Tabela7[[#This Row],[Tipo da Área]],'TABELA DE ATUALIZAÇÃO PROPOSTA'!$A$3:$K$59,10,FALSE))</f>
        <v>191.5022031288259</v>
      </c>
      <c r="L7" s="364">
        <v>12</v>
      </c>
      <c r="M7" s="365">
        <f>Tabela7[[#This Row],[Meses do Contrato]]*Tabela7[[#This Row],[Remuneração Mensal Total]]</f>
        <v>2298.026437545911</v>
      </c>
    </row>
    <row r="8" spans="1:13">
      <c r="A8" s="361">
        <v>7</v>
      </c>
      <c r="B8" s="362" t="s">
        <v>338</v>
      </c>
      <c r="C8" s="363">
        <f>IF(Tabela7[[#This Row],[Tipo da Área]]="","",VLOOKUP(Tabela7[[#This Row],[Tipo da Área]],'TABELA DE ATUALIZAÇÃO PROPOSTA'!$A$3:$K$59,2,FALSE))</f>
        <v>22.42</v>
      </c>
      <c r="D8" s="363">
        <f>VLOOKUP(Tabela7[[#This Row],[Tipo da Área]],'TABELA DE ATUALIZAÇÃO PROPOSTA'!$A$4:$K$60,3,FALSE)</f>
        <v>160</v>
      </c>
      <c r="E8" s="363">
        <f>IF(Tabela7[[#This Row],[Tipo da Área]]="","",VLOOKUP(Tabela7[[#This Row],[Tipo da Área]],'TABELA DE ATUALIZAÇÃO PROPOSTA'!$A$3:$K$59,4,FALSE))</f>
        <v>0.140125</v>
      </c>
      <c r="F8" s="359">
        <f>IF(Tabela7[[#This Row],[Tipo da Área]]="","",VLOOKUP(Tabela7[[#This Row],[Tipo da Área]],'TABELA DE ATUALIZAÇÃO PROPOSTA'!$A$3:$K$59,5,FALSE))</f>
        <v>16.93857161203611</v>
      </c>
      <c r="G8" s="359">
        <f>IF(Tabela7[[#This Row],[Tipo da Área]]="","",VLOOKUP(Tabela7[[#This Row],[Tipo da Área]],'TABELA DE ATUALIZAÇÃO PROPOSTA'!$A$3:$K$59,6,FALSE))</f>
        <v>3.9246271233290972</v>
      </c>
      <c r="H8" s="359">
        <f>IF(Tabela7[[#This Row],[Tipo da Área]]="","",VLOOKUP(Tabela7[[#This Row],[Tipo da Área]],'TABELA DE ATUALIZAÇÃO PROPOSTA'!$A$3:$K$59,7,FALSE))</f>
        <v>20.863198735365209</v>
      </c>
      <c r="I8" s="359">
        <f>IF(Tabela7[[#This Row],[Tipo da Área]]="","",VLOOKUP(Tabela7[[#This Row],[Tipo da Área]],'TABELA DE ATUALIZAÇÃO PROPOSTA'!$A$3:$K$59,8,FALSE))</f>
        <v>379.76277554184963</v>
      </c>
      <c r="J8" s="359">
        <f>IF(Tabela7[[#This Row],[Tipo da Área]]="","",VLOOKUP(Tabela7[[#This Row],[Tipo da Área]],'TABELA DE ATUALIZAÇÃO PROPOSTA'!$A$3:$K$59,9,FALSE))</f>
        <v>87.990140105038364</v>
      </c>
      <c r="K8" s="359">
        <f>IF(Tabela7[[#This Row],[Tipo da Área]]="","",VLOOKUP(Tabela7[[#This Row],[Tipo da Área]],'TABELA DE ATUALIZAÇÃO PROPOSTA'!$A$3:$K$59,10,FALSE))</f>
        <v>467.75291564688803</v>
      </c>
      <c r="L8" s="364">
        <v>12</v>
      </c>
      <c r="M8" s="365">
        <f>Tabela7[[#This Row],[Meses do Contrato]]*Tabela7[[#This Row],[Remuneração Mensal Total]]</f>
        <v>5613.0349877626559</v>
      </c>
    </row>
    <row r="9" spans="1:13" s="366" customFormat="1">
      <c r="A9" s="368"/>
      <c r="B9" s="364" t="s">
        <v>8</v>
      </c>
      <c r="C9" s="369">
        <f>SUBTOTAL(109,Tabela7[Área Efetiva Mensal])</f>
        <v>4252.1404000000002</v>
      </c>
      <c r="D9" s="364" t="s">
        <v>246</v>
      </c>
      <c r="E9" s="369">
        <f>SUBTOTAL(109,Tabela7[Mão de Obra])</f>
        <v>5.0002919299881396</v>
      </c>
      <c r="F9" s="359">
        <f>SUBTOTAL(101,Tabela7[Média de custos do M2 limpo pelo Agente])</f>
        <v>8.6027689266837957</v>
      </c>
      <c r="G9" s="359">
        <f>SUBTOTAL(101,Tabela7[Média de custos do M2 limpo pelo Líder])</f>
        <v>1.9932412861427522</v>
      </c>
      <c r="H9" s="359">
        <f>SUBTOTAL(101,Tabela7[Média de Custos do M2 limpo total])</f>
        <v>10.596010212826551</v>
      </c>
      <c r="I9" s="359">
        <f>SUBTOTAL(109,Tabela7[Remuneração Mensal Agente])</f>
        <v>13551.648469950458</v>
      </c>
      <c r="J9" s="359">
        <f>SUBTOTAL(109,Tabela7[Remuneração Mensal Líder])</f>
        <v>3139.885013279209</v>
      </c>
      <c r="K9" s="370">
        <f>SUBTOTAL(109,Tabela7[Remuneração Mensal Total])</f>
        <v>16691.533483229665</v>
      </c>
      <c r="L9" s="364">
        <f>SUBTOTAL(101,Tabela7[Meses do Contrato])</f>
        <v>12</v>
      </c>
      <c r="M9" s="370">
        <f>SUBTOTAL(109,Tabela7[Remuneração Anual])</f>
        <v>200298.40179875601</v>
      </c>
    </row>
    <row r="10" spans="1:13" s="366" customFormat="1">
      <c r="A10" s="375"/>
      <c r="B10" s="375"/>
      <c r="C10" s="375"/>
      <c r="D10" s="375" t="s">
        <v>364</v>
      </c>
      <c r="E10" s="375"/>
      <c r="F10" s="376"/>
      <c r="G10" s="376"/>
      <c r="H10" s="376"/>
      <c r="I10" s="376"/>
      <c r="J10" s="376"/>
      <c r="K10" s="376">
        <f>Tabela14[[#Totals],[CUSTO MÉDIO MENSAL (R$)]]</f>
        <v>3308.4662499999999</v>
      </c>
      <c r="L10" s="377">
        <v>12</v>
      </c>
      <c r="M10" s="376">
        <f>L10*K10</f>
        <v>39701.595000000001</v>
      </c>
    </row>
    <row r="11" spans="1:13">
      <c r="A11" s="378"/>
      <c r="B11" s="378"/>
      <c r="C11" s="378"/>
      <c r="D11" s="379" t="s">
        <v>227</v>
      </c>
      <c r="E11" s="380"/>
      <c r="F11" s="381"/>
      <c r="G11" s="381"/>
      <c r="H11" s="381"/>
      <c r="I11" s="381"/>
      <c r="J11" s="381"/>
      <c r="K11" s="381"/>
      <c r="L11" s="378"/>
      <c r="M11" s="381">
        <f>Tabela7[[#Totals],[Remuneração Anual]]+M10</f>
        <v>239999.99679875601</v>
      </c>
    </row>
    <row r="12" spans="1:13">
      <c r="A12" s="366"/>
      <c r="L12" s="373"/>
    </row>
    <row r="13" spans="1:13">
      <c r="L13" s="373"/>
    </row>
  </sheetData>
  <sheetProtection algorithmName="SHA-512" hashValue="VW1uRI+IDz4KSLdL+qSS/CSVg1kIwlf4hUIeEx3sGgiLfXw8DcuKmSJvFQl2VRJeExu8OyGOXcvyABlY+qeTSw==" saltValue="hTNagjOt5be/7ScAZCVsBw==" spinCount="100000" sheet="1" objects="1" scenarios="1"/>
  <pageMargins left="0.511811024" right="0.511811024" top="0.78740157499999996" bottom="0.78740157499999996" header="0.31496062000000002" footer="0.31496062000000002"/>
  <pageSetup paperSize="9" scale="63" orientation="landscape" verticalDpi="360"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'PADRAO E REFERENCIA'!$C$3:$C$21</xm:f>
          </x14:formula1>
          <xm:sqref>B2:B8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0C0"/>
  </sheetPr>
  <dimension ref="A1:H97"/>
  <sheetViews>
    <sheetView zoomScale="70" zoomScaleNormal="70" workbookViewId="0">
      <selection activeCell="E13" sqref="E13"/>
    </sheetView>
  </sheetViews>
  <sheetFormatPr defaultColWidth="9.140625" defaultRowHeight="15"/>
  <cols>
    <col min="1" max="1" width="13.85546875" style="149" customWidth="1"/>
    <col min="2" max="2" width="68.5703125" style="149" bestFit="1" customWidth="1"/>
    <col min="3" max="3" width="26.5703125" style="148" customWidth="1"/>
    <col min="4" max="4" width="5.7109375" style="149" customWidth="1"/>
    <col min="5" max="5" width="11.5703125" style="149" customWidth="1"/>
    <col min="6" max="6" width="49" style="149" customWidth="1"/>
    <col min="7" max="7" width="26.5703125" style="148" customWidth="1"/>
    <col min="8" max="16384" width="9.140625" style="149"/>
  </cols>
  <sheetData>
    <row r="1" spans="1:7" ht="33" customHeight="1">
      <c r="A1" s="146" t="s">
        <v>264</v>
      </c>
      <c r="B1" s="147" t="str">
        <f>'PARAMETROS DA CONTRATAÇÃO'!B10</f>
        <v>23443.018810/2020-61</v>
      </c>
    </row>
    <row r="2" spans="1:7" ht="33" customHeight="1">
      <c r="A2" s="146" t="s">
        <v>265</v>
      </c>
      <c r="B2" s="147">
        <f>'PARAMETROS DA CONTRATAÇÃO'!B13</f>
        <v>44562</v>
      </c>
    </row>
    <row r="3" spans="1:7" ht="33" customHeight="1">
      <c r="A3" s="146" t="s">
        <v>724</v>
      </c>
      <c r="B3" s="147" t="str">
        <f>'PARAMETROS DA CONTRATAÇÃO'!B7</f>
        <v>GM CONSERVAÇÃO E LIMPEZA EIRELI</v>
      </c>
    </row>
    <row r="4" spans="1:7" ht="33" customHeight="1">
      <c r="A4" s="152" t="s">
        <v>725</v>
      </c>
      <c r="B4" s="147" t="str">
        <f>'PARAMETROS DA CONTRATAÇÃO'!B8</f>
        <v>17.764.351/0001-71</v>
      </c>
    </row>
    <row r="6" spans="1:7" ht="33" customHeight="1">
      <c r="A6" s="154" t="s">
        <v>0</v>
      </c>
      <c r="B6" s="146" t="s">
        <v>266</v>
      </c>
      <c r="C6" s="155">
        <f>'PARAMETROS DA CONTRATAÇÃO'!B12</f>
        <v>44624</v>
      </c>
    </row>
    <row r="7" spans="1:7" ht="33" customHeight="1">
      <c r="A7" s="154" t="s">
        <v>2</v>
      </c>
      <c r="B7" s="146" t="s">
        <v>267</v>
      </c>
      <c r="C7" s="155" t="str">
        <f>'PARAMETROS DA CONTRATAÇÃO'!B11</f>
        <v>EIRUNEPÉ</v>
      </c>
    </row>
    <row r="8" spans="1:7" ht="33" customHeight="1">
      <c r="A8" s="154" t="s">
        <v>3</v>
      </c>
      <c r="B8" s="146" t="s">
        <v>268</v>
      </c>
      <c r="C8" s="442" t="str">
        <f>'PARAMETROS DA CONTRATAÇÃO'!E11</f>
        <v>AM000546/2021</v>
      </c>
    </row>
    <row r="9" spans="1:7" ht="33" customHeight="1">
      <c r="A9" s="154" t="s">
        <v>4</v>
      </c>
      <c r="B9" s="146" t="s">
        <v>269</v>
      </c>
      <c r="C9" s="155">
        <f>'PARAMETROS DA CONTRATAÇÃO'!B15</f>
        <v>12</v>
      </c>
    </row>
    <row r="11" spans="1:7" ht="15.75" thickBot="1">
      <c r="A11" s="447" t="s">
        <v>273</v>
      </c>
      <c r="B11" s="448"/>
      <c r="C11" s="449"/>
    </row>
    <row r="12" spans="1:7" ht="78.75" customHeight="1" thickTop="1">
      <c r="A12" s="27" t="s">
        <v>270</v>
      </c>
      <c r="B12" s="27" t="s">
        <v>271</v>
      </c>
      <c r="C12" s="27" t="s">
        <v>272</v>
      </c>
      <c r="F12" s="150" t="s">
        <v>363</v>
      </c>
      <c r="G12" s="151" t="s">
        <v>31</v>
      </c>
    </row>
    <row r="13" spans="1:7" ht="33" customHeight="1">
      <c r="A13" s="27" t="s">
        <v>722</v>
      </c>
      <c r="B13" s="27" t="s">
        <v>723</v>
      </c>
      <c r="C13" s="27">
        <f>Tabela5[[#Totals],[Área Efetiva em Diária]]</f>
        <v>4252.1403999999993</v>
      </c>
      <c r="F13" s="153" t="str">
        <f>E25</f>
        <v>Lider de Limpeza</v>
      </c>
      <c r="G13" s="151">
        <f>G92</f>
        <v>3139.8850132792086</v>
      </c>
    </row>
    <row r="14" spans="1:7" ht="33" customHeight="1">
      <c r="A14" s="27"/>
      <c r="B14" s="27"/>
      <c r="C14" s="27"/>
      <c r="F14" s="153" t="str">
        <f>A25</f>
        <v>Auxiliar de Limpeza</v>
      </c>
      <c r="G14" s="151">
        <f>C92</f>
        <v>2710.1714579257778</v>
      </c>
    </row>
    <row r="15" spans="1:7" ht="33" customHeight="1">
      <c r="A15" s="27"/>
      <c r="B15" s="27"/>
      <c r="C15" s="27"/>
      <c r="F15" s="153"/>
      <c r="G15" s="151"/>
    </row>
    <row r="16" spans="1:7" ht="37.5" customHeight="1">
      <c r="A16" s="188"/>
      <c r="B16" s="188"/>
      <c r="C16" s="188"/>
    </row>
    <row r="17" spans="1:8" ht="40.5" customHeight="1">
      <c r="A17" s="450" t="s">
        <v>274</v>
      </c>
      <c r="B17" s="450"/>
      <c r="C17" s="450"/>
      <c r="E17" s="451" t="s">
        <v>274</v>
      </c>
      <c r="F17" s="451"/>
      <c r="G17" s="451"/>
    </row>
    <row r="18" spans="1:8" ht="33" customHeight="1">
      <c r="A18" s="20" t="s">
        <v>438</v>
      </c>
      <c r="B18" s="20" t="s">
        <v>275</v>
      </c>
      <c r="C18" s="20" t="s">
        <v>148</v>
      </c>
      <c r="E18" t="s">
        <v>438</v>
      </c>
      <c r="F18" s="20" t="s">
        <v>275</v>
      </c>
      <c r="G18" s="20" t="s">
        <v>280</v>
      </c>
    </row>
    <row r="19" spans="1:8" ht="33" customHeight="1">
      <c r="A19">
        <v>2</v>
      </c>
      <c r="B19" s="20" t="s">
        <v>276</v>
      </c>
      <c r="C19" s="191" t="s">
        <v>446</v>
      </c>
      <c r="E19">
        <v>2</v>
      </c>
      <c r="F19" s="20" t="s">
        <v>276</v>
      </c>
      <c r="G19" s="20" t="s">
        <v>447</v>
      </c>
    </row>
    <row r="20" spans="1:8" ht="33" customHeight="1">
      <c r="A20">
        <v>3</v>
      </c>
      <c r="B20" s="20" t="s">
        <v>277</v>
      </c>
      <c r="C20" s="21">
        <f>'PARAMETROS DA CONTRATAÇÃO'!E16</f>
        <v>1113</v>
      </c>
      <c r="E20">
        <v>3</v>
      </c>
      <c r="F20" s="20" t="s">
        <v>277</v>
      </c>
      <c r="G20" s="187">
        <f>'PARAMETROS DA CONTRATAÇÃO'!H16</f>
        <v>1355.05</v>
      </c>
    </row>
    <row r="21" spans="1:8" ht="33" customHeight="1">
      <c r="A21">
        <v>4</v>
      </c>
      <c r="B21" s="20" t="s">
        <v>278</v>
      </c>
      <c r="C21" s="444" t="str">
        <f>'PARAMETROS DA CONTRATAÇÃO'!E10</f>
        <v>Agente de Limpeza</v>
      </c>
      <c r="E21">
        <v>4</v>
      </c>
      <c r="F21" s="20" t="s">
        <v>278</v>
      </c>
      <c r="G21" s="20" t="str">
        <f>'PARAMETROS DA CONTRATAÇÃO'!H10</f>
        <v>Líder de Limpeza</v>
      </c>
    </row>
    <row r="22" spans="1:8" ht="33" customHeight="1">
      <c r="A22">
        <v>5</v>
      </c>
      <c r="B22" s="20" t="s">
        <v>279</v>
      </c>
      <c r="C22" s="186">
        <f>'PARAMETROS DA CONTRATAÇÃO'!E12</f>
        <v>44562</v>
      </c>
      <c r="E22">
        <v>5</v>
      </c>
      <c r="F22" s="20" t="s">
        <v>279</v>
      </c>
      <c r="G22" s="23">
        <f>'PARAMETROS DA CONTRATAÇÃO'!H12</f>
        <v>44562</v>
      </c>
    </row>
    <row r="23" spans="1:8">
      <c r="A23" s="22"/>
      <c r="B23" s="22"/>
      <c r="C23" s="22"/>
      <c r="E23" s="22"/>
      <c r="F23" s="22"/>
      <c r="G23" s="22"/>
    </row>
    <row r="25" spans="1:8" ht="33" customHeight="1">
      <c r="A25" s="452" t="s">
        <v>144</v>
      </c>
      <c r="B25" s="452"/>
      <c r="C25" s="452"/>
      <c r="E25" s="452" t="s">
        <v>236</v>
      </c>
      <c r="F25" s="452"/>
      <c r="G25" s="452"/>
    </row>
    <row r="26" spans="1:8" ht="33" customHeight="1">
      <c r="A26" s="453" t="s">
        <v>83</v>
      </c>
      <c r="B26" s="453"/>
      <c r="C26" s="453"/>
      <c r="E26" s="453" t="s">
        <v>83</v>
      </c>
      <c r="F26" s="453"/>
      <c r="G26" s="453"/>
    </row>
    <row r="27" spans="1:8" ht="33" customHeight="1">
      <c r="A27" s="156">
        <v>1</v>
      </c>
      <c r="B27" s="156" t="s">
        <v>184</v>
      </c>
      <c r="C27" s="159">
        <f>SUM(C28)</f>
        <v>1113</v>
      </c>
      <c r="D27" s="158"/>
      <c r="E27" s="156">
        <v>1</v>
      </c>
      <c r="F27" s="156" t="s">
        <v>184</v>
      </c>
      <c r="G27" s="159">
        <f>SUM(G28)</f>
        <v>1355.05</v>
      </c>
    </row>
    <row r="28" spans="1:8" ht="33" customHeight="1">
      <c r="A28" s="160" t="s">
        <v>0</v>
      </c>
      <c r="B28" s="160" t="s">
        <v>33</v>
      </c>
      <c r="C28" s="161">
        <f>'DEMAIS MÓDULOS'!B3</f>
        <v>1113</v>
      </c>
      <c r="E28" s="160" t="s">
        <v>0</v>
      </c>
      <c r="F28" s="160" t="s">
        <v>33</v>
      </c>
      <c r="G28" s="161">
        <f>'DEMAIS MÓDULOS'!B2</f>
        <v>1355.05</v>
      </c>
    </row>
    <row r="29" spans="1:8" ht="33" customHeight="1">
      <c r="A29" s="162"/>
      <c r="B29" s="162"/>
      <c r="C29" s="163"/>
      <c r="E29" s="162"/>
      <c r="F29" s="162"/>
      <c r="G29" s="163"/>
    </row>
    <row r="30" spans="1:8" ht="33" customHeight="1">
      <c r="A30" s="452" t="s">
        <v>45</v>
      </c>
      <c r="B30" s="452"/>
      <c r="C30" s="452"/>
      <c r="D30" s="164"/>
      <c r="E30" s="452" t="s">
        <v>45</v>
      </c>
      <c r="F30" s="452"/>
      <c r="G30" s="452"/>
      <c r="H30" s="164"/>
    </row>
    <row r="31" spans="1:8" ht="33" customHeight="1">
      <c r="A31" s="165" t="s">
        <v>35</v>
      </c>
      <c r="B31" s="165" t="s">
        <v>149</v>
      </c>
      <c r="C31" s="166">
        <f>SUM(C32:C33)</f>
        <v>216.41666666666666</v>
      </c>
      <c r="D31" s="164"/>
      <c r="E31" s="165" t="s">
        <v>35</v>
      </c>
      <c r="F31" s="165" t="s">
        <v>149</v>
      </c>
      <c r="G31" s="166">
        <f>SUM(G32:G33)</f>
        <v>263.48194444444437</v>
      </c>
      <c r="H31" s="164"/>
    </row>
    <row r="32" spans="1:8" ht="33" customHeight="1">
      <c r="A32" s="156" t="s">
        <v>0</v>
      </c>
      <c r="B32" s="156" t="s">
        <v>9</v>
      </c>
      <c r="C32" s="159">
        <f>'DEMAIS MÓDULOS'!E32</f>
        <v>92.75</v>
      </c>
      <c r="D32" s="164"/>
      <c r="E32" s="156" t="s">
        <v>0</v>
      </c>
      <c r="F32" s="156" t="s">
        <v>9</v>
      </c>
      <c r="G32" s="159">
        <f>'DEMAIS MÓDULOS'!B26</f>
        <v>112.92083333333332</v>
      </c>
      <c r="H32" s="164"/>
    </row>
    <row r="33" spans="1:8" ht="33" customHeight="1">
      <c r="A33" s="156" t="s">
        <v>2</v>
      </c>
      <c r="B33" s="156" t="s">
        <v>37</v>
      </c>
      <c r="C33" s="159">
        <f>'DEMAIS MÓDULOS'!E33+'DEMAIS MÓDULOS'!F37</f>
        <v>123.66666666666666</v>
      </c>
      <c r="D33" s="164"/>
      <c r="E33" s="156" t="s">
        <v>2</v>
      </c>
      <c r="F33" s="156" t="s">
        <v>37</v>
      </c>
      <c r="G33" s="159">
        <f>SUM('DEMAIS MÓDULOS'!C26:D26)</f>
        <v>150.56111111111107</v>
      </c>
      <c r="H33" s="164"/>
    </row>
    <row r="34" spans="1:8" ht="47.25">
      <c r="A34" s="165" t="s">
        <v>40</v>
      </c>
      <c r="B34" s="165" t="s">
        <v>150</v>
      </c>
      <c r="C34" s="166">
        <f>SUM(C35:C36)</f>
        <v>412.11916666666673</v>
      </c>
      <c r="D34" s="164"/>
      <c r="E34" s="165" t="s">
        <v>40</v>
      </c>
      <c r="F34" s="165" t="s">
        <v>150</v>
      </c>
      <c r="G34" s="166">
        <f>SUM(G35:G36)</f>
        <v>501.74490277777778</v>
      </c>
      <c r="H34" s="164"/>
    </row>
    <row r="35" spans="1:8" ht="48.75" customHeight="1">
      <c r="A35" s="156" t="s">
        <v>0</v>
      </c>
      <c r="B35" s="156" t="s">
        <v>117</v>
      </c>
      <c r="C35" s="159">
        <f>'DEMAIS MÓDULOS'!E42</f>
        <v>305.76583333333338</v>
      </c>
      <c r="D35" s="164"/>
      <c r="E35" s="156" t="s">
        <v>0</v>
      </c>
      <c r="F35" s="156" t="s">
        <v>117</v>
      </c>
      <c r="G35" s="159">
        <f>'DEMAIS MÓDULOS'!E40</f>
        <v>372.26234722222222</v>
      </c>
      <c r="H35" s="164"/>
    </row>
    <row r="36" spans="1:8" ht="33" customHeight="1">
      <c r="A36" s="156" t="s">
        <v>2</v>
      </c>
      <c r="B36" s="156" t="s">
        <v>6</v>
      </c>
      <c r="C36" s="159">
        <f>'DEMAIS MÓDULOS'!E43</f>
        <v>106.35333333333334</v>
      </c>
      <c r="D36" s="164"/>
      <c r="E36" s="156" t="s">
        <v>2</v>
      </c>
      <c r="F36" s="156" t="s">
        <v>6</v>
      </c>
      <c r="G36" s="159">
        <f>'DEMAIS MÓDULOS'!E41</f>
        <v>129.48255555555556</v>
      </c>
      <c r="H36" s="164"/>
    </row>
    <row r="37" spans="1:8" ht="33" customHeight="1">
      <c r="A37" s="165" t="s">
        <v>41</v>
      </c>
      <c r="B37" s="165" t="s">
        <v>151</v>
      </c>
      <c r="C37" s="166">
        <f>SUM(C38:C42)</f>
        <v>487.62</v>
      </c>
      <c r="D37" s="164"/>
      <c r="E37" s="165" t="s">
        <v>41</v>
      </c>
      <c r="F37" s="165" t="s">
        <v>151</v>
      </c>
      <c r="G37" s="166">
        <f>SUM(G38:G42)</f>
        <v>473.09699999999998</v>
      </c>
      <c r="H37" s="164"/>
    </row>
    <row r="38" spans="1:8" ht="33" customHeight="1">
      <c r="A38" s="156" t="s">
        <v>0</v>
      </c>
      <c r="B38" s="156" t="s">
        <v>66</v>
      </c>
      <c r="C38" s="159">
        <f>'DEMAIS MÓDULOS'!J48</f>
        <v>100.41999999999999</v>
      </c>
      <c r="D38" s="164"/>
      <c r="E38" s="156" t="s">
        <v>0</v>
      </c>
      <c r="F38" s="156" t="s">
        <v>66</v>
      </c>
      <c r="G38" s="159">
        <f>'DEMAIS MÓDULOS'!J46</f>
        <v>85.896999999999991</v>
      </c>
      <c r="H38" s="164"/>
    </row>
    <row r="39" spans="1:8" ht="33" customHeight="1">
      <c r="A39" s="156" t="s">
        <v>2</v>
      </c>
      <c r="B39" s="156" t="s">
        <v>67</v>
      </c>
      <c r="C39" s="159">
        <f>'DEMAIS MÓDULOS'!J49</f>
        <v>277.2</v>
      </c>
      <c r="D39" s="164"/>
      <c r="E39" s="156" t="s">
        <v>2</v>
      </c>
      <c r="F39" s="156" t="s">
        <v>67</v>
      </c>
      <c r="G39" s="159">
        <f>'DEMAIS MÓDULOS'!J47</f>
        <v>277.2</v>
      </c>
      <c r="H39" s="164"/>
    </row>
    <row r="40" spans="1:8" ht="33" customHeight="1">
      <c r="A40" s="156" t="s">
        <v>3</v>
      </c>
      <c r="B40" s="156" t="s">
        <v>68</v>
      </c>
      <c r="C40" s="159">
        <f>'DEMAIS MÓDULOS'!E56</f>
        <v>10</v>
      </c>
      <c r="D40" s="164"/>
      <c r="E40" s="156" t="s">
        <v>3</v>
      </c>
      <c r="F40" s="156" t="s">
        <v>68</v>
      </c>
      <c r="G40" s="159">
        <f>'DEMAIS MÓDULOS'!E53</f>
        <v>10</v>
      </c>
      <c r="H40" s="164"/>
    </row>
    <row r="41" spans="1:8" ht="33" customHeight="1">
      <c r="A41" s="156" t="s">
        <v>4</v>
      </c>
      <c r="B41" s="156" t="s">
        <v>262</v>
      </c>
      <c r="C41" s="159">
        <f>'DEMAIS MÓDULOS'!E57</f>
        <v>15</v>
      </c>
      <c r="D41" s="164"/>
      <c r="E41" s="156" t="s">
        <v>4</v>
      </c>
      <c r="F41" s="156" t="s">
        <v>263</v>
      </c>
      <c r="G41" s="159">
        <f>'DEMAIS MÓDULOS'!E54</f>
        <v>15</v>
      </c>
      <c r="H41" s="164"/>
    </row>
    <row r="42" spans="1:8" ht="33" customHeight="1">
      <c r="A42" s="156" t="s">
        <v>261</v>
      </c>
      <c r="B42" s="156" t="s">
        <v>96</v>
      </c>
      <c r="C42" s="159">
        <f>'DEMAIS MÓDULOS'!E55</f>
        <v>85</v>
      </c>
      <c r="D42" s="164"/>
      <c r="E42" s="156" t="s">
        <v>261</v>
      </c>
      <c r="F42" s="156" t="s">
        <v>96</v>
      </c>
      <c r="G42" s="159">
        <f>'DEMAIS MÓDULOS'!E52</f>
        <v>85</v>
      </c>
      <c r="H42" s="164"/>
    </row>
    <row r="43" spans="1:8" ht="33" customHeight="1">
      <c r="A43" s="162"/>
      <c r="B43" s="162"/>
      <c r="C43" s="163"/>
      <c r="D43" s="164"/>
      <c r="E43" s="162"/>
      <c r="F43" s="162"/>
      <c r="G43" s="163"/>
      <c r="H43" s="164"/>
    </row>
    <row r="44" spans="1:8" ht="33" customHeight="1">
      <c r="A44" s="454" t="s">
        <v>141</v>
      </c>
      <c r="B44" s="454"/>
      <c r="C44" s="454"/>
      <c r="D44" s="164"/>
      <c r="E44" s="454" t="s">
        <v>141</v>
      </c>
      <c r="F44" s="454"/>
      <c r="G44" s="454"/>
      <c r="H44" s="164"/>
    </row>
    <row r="45" spans="1:8" ht="33" customHeight="1">
      <c r="A45" s="165">
        <v>2</v>
      </c>
      <c r="B45" s="165" t="s">
        <v>39</v>
      </c>
      <c r="C45" s="166">
        <f>SUM(C46:C48)</f>
        <v>1116.1558333333332</v>
      </c>
      <c r="D45" s="164"/>
      <c r="E45" s="165">
        <v>2</v>
      </c>
      <c r="F45" s="165" t="s">
        <v>39</v>
      </c>
      <c r="G45" s="166">
        <f>SUM(G46:G48)</f>
        <v>1238.3238472222222</v>
      </c>
      <c r="H45" s="164"/>
    </row>
    <row r="46" spans="1:8" ht="33" customHeight="1">
      <c r="A46" s="156" t="s">
        <v>35</v>
      </c>
      <c r="B46" s="156" t="s">
        <v>36</v>
      </c>
      <c r="C46" s="159">
        <f>C31</f>
        <v>216.41666666666666</v>
      </c>
      <c r="D46" s="164"/>
      <c r="E46" s="156" t="s">
        <v>35</v>
      </c>
      <c r="F46" s="156" t="s">
        <v>36</v>
      </c>
      <c r="G46" s="159">
        <f>G31</f>
        <v>263.48194444444437</v>
      </c>
      <c r="H46" s="164"/>
    </row>
    <row r="47" spans="1:8" ht="33" customHeight="1">
      <c r="A47" s="156" t="s">
        <v>40</v>
      </c>
      <c r="B47" s="156" t="s">
        <v>38</v>
      </c>
      <c r="C47" s="159">
        <f>C34</f>
        <v>412.11916666666673</v>
      </c>
      <c r="D47" s="164"/>
      <c r="E47" s="156" t="s">
        <v>40</v>
      </c>
      <c r="F47" s="156" t="s">
        <v>38</v>
      </c>
      <c r="G47" s="159">
        <f>G34</f>
        <v>501.74490277777778</v>
      </c>
      <c r="H47" s="164"/>
    </row>
    <row r="48" spans="1:8" ht="33" customHeight="1">
      <c r="A48" s="156" t="s">
        <v>41</v>
      </c>
      <c r="B48" s="156" t="s">
        <v>1</v>
      </c>
      <c r="C48" s="159">
        <f>C37</f>
        <v>487.62</v>
      </c>
      <c r="D48" s="164"/>
      <c r="E48" s="156" t="s">
        <v>41</v>
      </c>
      <c r="F48" s="156" t="s">
        <v>1</v>
      </c>
      <c r="G48" s="159">
        <f>G37</f>
        <v>473.09699999999998</v>
      </c>
      <c r="H48" s="164"/>
    </row>
    <row r="49" spans="1:8" ht="33" customHeight="1">
      <c r="A49" s="162"/>
      <c r="B49" s="162"/>
      <c r="C49" s="163"/>
      <c r="D49" s="164"/>
      <c r="E49" s="162"/>
      <c r="F49" s="162"/>
      <c r="G49" s="163"/>
      <c r="H49" s="164"/>
    </row>
    <row r="50" spans="1:8" ht="33" customHeight="1">
      <c r="A50" s="454" t="s">
        <v>142</v>
      </c>
      <c r="B50" s="454"/>
      <c r="C50" s="454"/>
      <c r="D50" s="164"/>
      <c r="E50" s="454" t="s">
        <v>142</v>
      </c>
      <c r="F50" s="454"/>
      <c r="G50" s="454"/>
      <c r="H50" s="164"/>
    </row>
    <row r="51" spans="1:8" ht="33" customHeight="1">
      <c r="A51" s="165">
        <v>3</v>
      </c>
      <c r="B51" s="165" t="s">
        <v>11</v>
      </c>
      <c r="C51" s="166">
        <f>SUM(C52:C57)</f>
        <v>22.272312519697596</v>
      </c>
      <c r="D51" s="164"/>
      <c r="E51" s="165">
        <v>3</v>
      </c>
      <c r="F51" s="165" t="s">
        <v>11</v>
      </c>
      <c r="G51" s="166">
        <f>SUM(G52:G57)</f>
        <v>25.160424699473595</v>
      </c>
      <c r="H51" s="164"/>
    </row>
    <row r="52" spans="1:8" ht="33" customHeight="1">
      <c r="A52" s="156" t="s">
        <v>0</v>
      </c>
      <c r="B52" s="156" t="s">
        <v>42</v>
      </c>
      <c r="C52" s="159">
        <f>'MÓDULO RESCISÃO'!K6</f>
        <v>3.4579456916666667</v>
      </c>
      <c r="D52" s="164"/>
      <c r="E52" s="156" t="s">
        <v>0</v>
      </c>
      <c r="F52" s="156" t="s">
        <v>42</v>
      </c>
      <c r="G52" s="159">
        <f>'MÓDULO RESCISÃO'!K16</f>
        <v>3.9063470447041673</v>
      </c>
      <c r="H52" s="164"/>
    </row>
    <row r="53" spans="1:8" ht="33" customHeight="1">
      <c r="A53" s="156" t="s">
        <v>2</v>
      </c>
      <c r="B53" s="156" t="s">
        <v>371</v>
      </c>
      <c r="C53" s="159">
        <f>'MÓDULO RESCISÃO'!K7</f>
        <v>0.27663565533333334</v>
      </c>
      <c r="D53" s="164"/>
      <c r="E53" s="156" t="s">
        <v>2</v>
      </c>
      <c r="F53" s="156" t="s">
        <v>371</v>
      </c>
      <c r="G53" s="159">
        <f>'MÓDULO RESCISÃO'!K17</f>
        <v>0.31250776357633336</v>
      </c>
      <c r="H53" s="164"/>
    </row>
    <row r="54" spans="1:8" ht="33" customHeight="1">
      <c r="A54" s="156" t="s">
        <v>3</v>
      </c>
      <c r="B54" s="156" t="s">
        <v>372</v>
      </c>
      <c r="C54" s="159">
        <f>'MÓDULO RESCISÃO'!K8</f>
        <v>0.11065426213333333</v>
      </c>
      <c r="D54" s="164"/>
      <c r="E54" s="156" t="s">
        <v>3</v>
      </c>
      <c r="F54" s="156" t="s">
        <v>372</v>
      </c>
      <c r="G54" s="159">
        <f>'MÓDULO RESCISÃO'!K18</f>
        <v>0.12500310543053336</v>
      </c>
      <c r="H54" s="164"/>
    </row>
    <row r="55" spans="1:8" ht="33" customHeight="1">
      <c r="A55" s="156" t="s">
        <v>4</v>
      </c>
      <c r="B55" s="156" t="s">
        <v>43</v>
      </c>
      <c r="C55" s="159">
        <f>'MÓDULO RESCISÃO'!K9</f>
        <v>13.731055820092594</v>
      </c>
      <c r="D55" s="164"/>
      <c r="E55" s="156" t="s">
        <v>4</v>
      </c>
      <c r="F55" s="156" t="s">
        <v>43</v>
      </c>
      <c r="G55" s="159">
        <f>'MÓDULO RESCISÃO'!K19</f>
        <v>15.511599691328287</v>
      </c>
      <c r="H55" s="164"/>
    </row>
    <row r="56" spans="1:8" ht="33" customHeight="1">
      <c r="A56" s="156" t="s">
        <v>261</v>
      </c>
      <c r="B56" s="156" t="s">
        <v>373</v>
      </c>
      <c r="C56" s="159">
        <f>'MÓDULO RESCISÃO'!K10</f>
        <v>4.2566273042287044</v>
      </c>
      <c r="D56" s="164"/>
      <c r="E56" s="156" t="s">
        <v>261</v>
      </c>
      <c r="F56" s="156" t="s">
        <v>373</v>
      </c>
      <c r="G56" s="159">
        <f>'MÓDULO RESCISÃO'!K20</f>
        <v>4.808595904311769</v>
      </c>
      <c r="H56" s="164"/>
    </row>
    <row r="57" spans="1:8" ht="33" customHeight="1">
      <c r="A57" s="156" t="s">
        <v>374</v>
      </c>
      <c r="B57" s="156" t="s">
        <v>375</v>
      </c>
      <c r="C57" s="159">
        <f>'MÓDULO RESCISÃO'!K11</f>
        <v>0.43939378624296305</v>
      </c>
      <c r="D57" s="164"/>
      <c r="E57" s="156" t="s">
        <v>374</v>
      </c>
      <c r="F57" s="156" t="s">
        <v>375</v>
      </c>
      <c r="G57" s="159">
        <f>'MÓDULO RESCISÃO'!K21</f>
        <v>0.49637119012250525</v>
      </c>
      <c r="H57" s="164"/>
    </row>
    <row r="58" spans="1:8" ht="33" customHeight="1">
      <c r="A58" s="167"/>
      <c r="B58" s="167"/>
      <c r="C58" s="168"/>
      <c r="D58" s="164"/>
      <c r="E58" s="167"/>
      <c r="F58" s="167"/>
      <c r="G58" s="168"/>
      <c r="H58" s="164"/>
    </row>
    <row r="59" spans="1:8" ht="33" customHeight="1">
      <c r="A59" s="455" t="s">
        <v>47</v>
      </c>
      <c r="B59" s="455"/>
      <c r="C59" s="455"/>
      <c r="D59" s="164"/>
      <c r="E59" s="455" t="s">
        <v>47</v>
      </c>
      <c r="F59" s="455"/>
      <c r="G59" s="455"/>
      <c r="H59" s="164"/>
    </row>
    <row r="60" spans="1:8" ht="31.5">
      <c r="A60" s="169">
        <v>4</v>
      </c>
      <c r="B60" s="169" t="s">
        <v>445</v>
      </c>
      <c r="C60" s="170">
        <f>SUM(C61:C66)</f>
        <v>68.1964371817933</v>
      </c>
      <c r="D60" s="164"/>
      <c r="E60" s="169">
        <v>4</v>
      </c>
      <c r="F60" s="169" t="s">
        <v>445</v>
      </c>
      <c r="G60" s="170">
        <f>SUM(G61:G66)</f>
        <v>79.316192396547308</v>
      </c>
      <c r="H60" s="164"/>
    </row>
    <row r="61" spans="1:8" ht="33" customHeight="1">
      <c r="A61" s="189" t="s">
        <v>0</v>
      </c>
      <c r="B61" s="189" t="s">
        <v>439</v>
      </c>
      <c r="C61" s="190">
        <f>'MÓDULO PROFISSIONAL AUSENTE'!T3</f>
        <v>20.84655690604658</v>
      </c>
      <c r="D61" s="164"/>
      <c r="E61" s="189" t="s">
        <v>0</v>
      </c>
      <c r="F61" s="189" t="s">
        <v>439</v>
      </c>
      <c r="G61" s="190">
        <f>'MÓDULO PROFISSIONAL AUSENTE'!I3</f>
        <v>24.24568770297866</v>
      </c>
      <c r="H61" s="164"/>
    </row>
    <row r="62" spans="1:8" ht="33" customHeight="1">
      <c r="A62" s="189" t="s">
        <v>2</v>
      </c>
      <c r="B62" s="189" t="s">
        <v>440</v>
      </c>
      <c r="C62" s="190">
        <f>'MÓDULO PROFISSIONAL AUSENTE'!T4</f>
        <v>6.2539670718139737</v>
      </c>
      <c r="D62" s="164"/>
      <c r="E62" s="189" t="s">
        <v>2</v>
      </c>
      <c r="F62" s="189" t="s">
        <v>440</v>
      </c>
      <c r="G62" s="190">
        <f>'MÓDULO PROFISSIONAL AUSENTE'!I4</f>
        <v>7.2737063108935978</v>
      </c>
      <c r="H62" s="164"/>
    </row>
    <row r="63" spans="1:8" ht="33" customHeight="1">
      <c r="A63" s="189" t="s">
        <v>3</v>
      </c>
      <c r="B63" s="189" t="s">
        <v>441</v>
      </c>
      <c r="C63" s="190">
        <f>'MÓDULO PROFISSIONAL AUSENTE'!T5</f>
        <v>0.38149199138065237</v>
      </c>
      <c r="D63" s="164"/>
      <c r="E63" s="189" t="s">
        <v>3</v>
      </c>
      <c r="F63" s="189" t="s">
        <v>441</v>
      </c>
      <c r="G63" s="190">
        <f>'MÓDULO PROFISSIONAL AUSENTE'!I5</f>
        <v>0.44369608496450946</v>
      </c>
      <c r="H63" s="164"/>
    </row>
    <row r="64" spans="1:8" ht="33" customHeight="1">
      <c r="A64" s="189" t="s">
        <v>4</v>
      </c>
      <c r="B64" s="189" t="s">
        <v>442</v>
      </c>
      <c r="C64" s="190">
        <f>'MÓDULO PROFISSIONAL AUSENTE'!T6</f>
        <v>0.41719465469869133</v>
      </c>
      <c r="D64" s="164"/>
      <c r="E64" s="189" t="s">
        <v>4</v>
      </c>
      <c r="F64" s="189" t="s">
        <v>442</v>
      </c>
      <c r="G64" s="190">
        <f>'MÓDULO PROFISSIONAL AUSENTE'!I6</f>
        <v>0.48522023827553823</v>
      </c>
      <c r="H64" s="164"/>
    </row>
    <row r="65" spans="1:8" ht="33" customHeight="1">
      <c r="A65" s="189" t="s">
        <v>261</v>
      </c>
      <c r="B65" s="189" t="s">
        <v>443</v>
      </c>
      <c r="C65" s="190">
        <f>'MÓDULO PROFISSIONAL AUSENTE'!T7</f>
        <v>0.5295007416027071</v>
      </c>
      <c r="D65" s="164"/>
      <c r="E65" s="189" t="s">
        <v>261</v>
      </c>
      <c r="F65" s="189" t="s">
        <v>443</v>
      </c>
      <c r="G65" s="190">
        <f>'MÓDULO PROFISSIONAL AUSENTE'!I7</f>
        <v>0.61583836972479233</v>
      </c>
      <c r="H65" s="164"/>
    </row>
    <row r="66" spans="1:8" ht="33" customHeight="1">
      <c r="A66" s="189" t="s">
        <v>374</v>
      </c>
      <c r="B66" s="189" t="s">
        <v>444</v>
      </c>
      <c r="C66" s="190">
        <f>SUM('MÓDULO PROFISSIONAL AUSENTE'!T8:T14)</f>
        <v>39.767725816250689</v>
      </c>
      <c r="D66" s="164"/>
      <c r="E66" s="189" t="s">
        <v>374</v>
      </c>
      <c r="F66" s="189" t="s">
        <v>444</v>
      </c>
      <c r="G66" s="190">
        <f>SUM('MÓDULO PROFISSIONAL AUSENTE'!I8:I14)</f>
        <v>46.252043689710206</v>
      </c>
      <c r="H66" s="164"/>
    </row>
    <row r="67" spans="1:8" s="172" customFormat="1" ht="33" customHeight="1">
      <c r="A67" s="173"/>
      <c r="B67" s="173"/>
      <c r="C67" s="174"/>
      <c r="D67" s="171"/>
      <c r="E67" s="173"/>
      <c r="F67" s="173"/>
      <c r="G67" s="174"/>
      <c r="H67" s="171"/>
    </row>
    <row r="68" spans="1:8" s="172" customFormat="1" ht="33" customHeight="1">
      <c r="A68" s="455" t="s">
        <v>48</v>
      </c>
      <c r="B68" s="455"/>
      <c r="C68" s="455"/>
      <c r="D68" s="171"/>
      <c r="E68" s="455" t="s">
        <v>48</v>
      </c>
      <c r="F68" s="455"/>
      <c r="G68" s="455"/>
      <c r="H68" s="171"/>
    </row>
    <row r="69" spans="1:8" ht="33" customHeight="1">
      <c r="A69" s="175">
        <v>5</v>
      </c>
      <c r="B69" s="175" t="s">
        <v>104</v>
      </c>
      <c r="C69" s="176">
        <f>SUM(C70:C74)</f>
        <v>65.817941020663284</v>
      </c>
      <c r="D69" s="164"/>
      <c r="E69" s="175">
        <v>5</v>
      </c>
      <c r="F69" s="175" t="s">
        <v>104</v>
      </c>
      <c r="G69" s="176">
        <f>SUM(G70:G74)</f>
        <v>65.817941020663284</v>
      </c>
      <c r="H69" s="164"/>
    </row>
    <row r="70" spans="1:8" ht="33" customHeight="1">
      <c r="A70" s="156" t="s">
        <v>0</v>
      </c>
      <c r="B70" s="156" t="s">
        <v>105</v>
      </c>
      <c r="C70" s="177">
        <f>'MÓDULO 05'!D88</f>
        <v>23.5</v>
      </c>
      <c r="D70" s="164"/>
      <c r="E70" s="156" t="s">
        <v>0</v>
      </c>
      <c r="F70" s="156" t="s">
        <v>105</v>
      </c>
      <c r="G70" s="177">
        <f>'MÓDULO 05'!D87</f>
        <v>23.5</v>
      </c>
      <c r="H70" s="164"/>
    </row>
    <row r="71" spans="1:8" ht="33" customHeight="1">
      <c r="A71" s="156" t="s">
        <v>2</v>
      </c>
      <c r="B71" s="156" t="s">
        <v>145</v>
      </c>
      <c r="C71" s="177">
        <f>'MÓDULO 05'!C88</f>
        <v>38.3181356311866</v>
      </c>
      <c r="D71" s="164"/>
      <c r="E71" s="156" t="s">
        <v>2</v>
      </c>
      <c r="F71" s="156" t="s">
        <v>145</v>
      </c>
      <c r="G71" s="177">
        <f>'MÓDULO 05'!C87</f>
        <v>38.3181356311866</v>
      </c>
      <c r="H71" s="164"/>
    </row>
    <row r="72" spans="1:8" ht="33" customHeight="1">
      <c r="A72" s="156" t="s">
        <v>3</v>
      </c>
      <c r="B72" s="156" t="s">
        <v>106</v>
      </c>
      <c r="C72" s="159">
        <v>0</v>
      </c>
      <c r="D72" s="164"/>
      <c r="E72" s="156" t="s">
        <v>3</v>
      </c>
      <c r="F72" s="156" t="s">
        <v>106</v>
      </c>
      <c r="G72" s="159">
        <v>0</v>
      </c>
      <c r="H72" s="164"/>
    </row>
    <row r="73" spans="1:8" ht="33" customHeight="1">
      <c r="A73" s="156" t="s">
        <v>4</v>
      </c>
      <c r="B73" s="156" t="s">
        <v>107</v>
      </c>
      <c r="C73" s="159">
        <f>'MÓDULO 05'!E88</f>
        <v>3.999805389476681</v>
      </c>
      <c r="D73" s="164"/>
      <c r="E73" s="156" t="s">
        <v>4</v>
      </c>
      <c r="F73" s="156" t="s">
        <v>107</v>
      </c>
      <c r="G73" s="159">
        <f>'MÓDULO 05'!E87</f>
        <v>3.999805389476681</v>
      </c>
      <c r="H73" s="164"/>
    </row>
    <row r="74" spans="1:8" ht="33" customHeight="1">
      <c r="A74" s="156" t="s">
        <v>261</v>
      </c>
      <c r="B74" s="156" t="s">
        <v>34</v>
      </c>
      <c r="C74" s="159">
        <v>0</v>
      </c>
      <c r="D74" s="164"/>
      <c r="E74" s="156" t="s">
        <v>261</v>
      </c>
      <c r="F74" s="156" t="s">
        <v>34</v>
      </c>
      <c r="G74" s="159">
        <v>0</v>
      </c>
      <c r="H74" s="164"/>
    </row>
    <row r="75" spans="1:8" ht="33" customHeight="1">
      <c r="A75" s="162"/>
      <c r="B75" s="162"/>
      <c r="C75" s="163"/>
      <c r="D75" s="164"/>
      <c r="E75" s="162"/>
      <c r="F75" s="162"/>
      <c r="G75" s="163"/>
      <c r="H75" s="164"/>
    </row>
    <row r="76" spans="1:8" ht="33" customHeight="1">
      <c r="A76" s="455" t="s">
        <v>49</v>
      </c>
      <c r="B76" s="455"/>
      <c r="C76" s="455"/>
      <c r="D76" s="164"/>
      <c r="E76" s="455" t="s">
        <v>49</v>
      </c>
      <c r="F76" s="455"/>
      <c r="G76" s="455"/>
      <c r="H76" s="164"/>
    </row>
    <row r="77" spans="1:8" ht="33" customHeight="1">
      <c r="A77" s="175">
        <v>6</v>
      </c>
      <c r="B77" s="175" t="s">
        <v>44</v>
      </c>
      <c r="C77" s="176">
        <f>SUM(C78:C80)</f>
        <v>324.72893387029052</v>
      </c>
      <c r="D77" s="164"/>
      <c r="E77" s="175">
        <v>6</v>
      </c>
      <c r="F77" s="175" t="s">
        <v>44</v>
      </c>
      <c r="G77" s="176">
        <f>SUM(G78:G80)</f>
        <v>376.21660794030248</v>
      </c>
      <c r="H77" s="164"/>
    </row>
    <row r="78" spans="1:8" ht="33" customHeight="1">
      <c r="A78" s="178" t="s">
        <v>0</v>
      </c>
      <c r="B78" s="178" t="s">
        <v>12</v>
      </c>
      <c r="C78" s="177">
        <f>'DEMAIS MÓDULOS'!B62</f>
        <v>119.27212620277437</v>
      </c>
      <c r="D78" s="164"/>
      <c r="E78" s="178" t="s">
        <v>0</v>
      </c>
      <c r="F78" s="178" t="s">
        <v>12</v>
      </c>
      <c r="G78" s="177">
        <f>'DEMAIS MÓDULOS'!B61</f>
        <v>138.18342026694532</v>
      </c>
      <c r="H78" s="164"/>
    </row>
    <row r="79" spans="1:8" ht="33" customHeight="1">
      <c r="A79" s="178" t="s">
        <v>2</v>
      </c>
      <c r="B79" s="178" t="s">
        <v>13</v>
      </c>
      <c r="C79" s="177">
        <f>'DEMAIS MÓDULOS'!C62</f>
        <v>125.2357325129131</v>
      </c>
      <c r="D79" s="164"/>
      <c r="E79" s="178" t="s">
        <v>2</v>
      </c>
      <c r="F79" s="178" t="s">
        <v>13</v>
      </c>
      <c r="G79" s="177">
        <f>'DEMAIS MÓDULOS'!C61</f>
        <v>145.09259128029257</v>
      </c>
      <c r="H79" s="164"/>
    </row>
    <row r="80" spans="1:8" ht="33" customHeight="1">
      <c r="A80" s="178" t="s">
        <v>3</v>
      </c>
      <c r="B80" s="179" t="s">
        <v>14</v>
      </c>
      <c r="C80" s="180">
        <f>'DEMAIS MÓDULOS'!D62</f>
        <v>80.221075154603042</v>
      </c>
      <c r="D80" s="164"/>
      <c r="E80" s="178" t="s">
        <v>3</v>
      </c>
      <c r="F80" s="179" t="s">
        <v>14</v>
      </c>
      <c r="G80" s="180">
        <f>'DEMAIS MÓDULOS'!D61</f>
        <v>92.940596393064581</v>
      </c>
      <c r="H80" s="164"/>
    </row>
    <row r="81" spans="1:8" ht="33" customHeight="1">
      <c r="A81" s="178" t="s">
        <v>281</v>
      </c>
      <c r="B81" s="178" t="s">
        <v>118</v>
      </c>
      <c r="C81" s="177">
        <f>'DEMAIS MÓDULOS'!D69</f>
        <v>4.6072914784738224</v>
      </c>
      <c r="D81" s="164"/>
      <c r="E81" s="178" t="s">
        <v>281</v>
      </c>
      <c r="F81" s="178" t="s">
        <v>118</v>
      </c>
      <c r="G81" s="177">
        <f>'DEMAIS MÓDULOS'!D78</f>
        <v>5.337804522574654</v>
      </c>
      <c r="H81" s="164"/>
    </row>
    <row r="82" spans="1:8" ht="33" customHeight="1">
      <c r="A82" s="178" t="s">
        <v>282</v>
      </c>
      <c r="B82" s="178" t="s">
        <v>16</v>
      </c>
      <c r="C82" s="177">
        <f>'DEMAIS MÓDULOS'!D70</f>
        <v>21.410354517613651</v>
      </c>
      <c r="D82" s="164"/>
      <c r="E82" s="178" t="s">
        <v>282</v>
      </c>
      <c r="F82" s="178" t="s">
        <v>16</v>
      </c>
      <c r="G82" s="177">
        <f>'DEMAIS MÓDULOS'!D79</f>
        <v>24.805091604905751</v>
      </c>
      <c r="H82" s="164"/>
    </row>
    <row r="83" spans="1:8" ht="33" customHeight="1">
      <c r="A83" s="178" t="s">
        <v>283</v>
      </c>
      <c r="B83" s="178" t="s">
        <v>17</v>
      </c>
      <c r="C83" s="177">
        <f>'DEMAIS MÓDULOS'!D71</f>
        <v>54.203429158515569</v>
      </c>
      <c r="D83" s="164"/>
      <c r="E83" s="178" t="s">
        <v>283</v>
      </c>
      <c r="F83" s="178" t="s">
        <v>17</v>
      </c>
      <c r="G83" s="177">
        <f>'DEMAIS MÓDULOS'!D80</f>
        <v>62.797700265584176</v>
      </c>
      <c r="H83" s="164"/>
    </row>
    <row r="84" spans="1:8" ht="33" customHeight="1">
      <c r="A84" s="181"/>
      <c r="B84" s="181"/>
      <c r="C84" s="182"/>
      <c r="D84" s="164"/>
      <c r="E84" s="181"/>
      <c r="F84" s="181"/>
      <c r="G84" s="182"/>
      <c r="H84" s="164"/>
    </row>
    <row r="85" spans="1:8" ht="33" customHeight="1">
      <c r="A85" s="452" t="s">
        <v>152</v>
      </c>
      <c r="B85" s="452"/>
      <c r="C85" s="452"/>
      <c r="D85" s="164"/>
      <c r="E85" s="452" t="s">
        <v>152</v>
      </c>
      <c r="F85" s="452"/>
      <c r="G85" s="452"/>
      <c r="H85" s="164"/>
    </row>
    <row r="86" spans="1:8" ht="33" customHeight="1">
      <c r="A86" s="456" t="s">
        <v>15</v>
      </c>
      <c r="B86" s="456"/>
      <c r="C86" s="157">
        <f>C27</f>
        <v>1113</v>
      </c>
      <c r="D86" s="164"/>
      <c r="E86" s="456" t="s">
        <v>15</v>
      </c>
      <c r="F86" s="456"/>
      <c r="G86" s="157">
        <f>G27</f>
        <v>1355.05</v>
      </c>
      <c r="H86" s="164"/>
    </row>
    <row r="87" spans="1:8" ht="33" customHeight="1">
      <c r="A87" s="456" t="s">
        <v>45</v>
      </c>
      <c r="B87" s="456"/>
      <c r="C87" s="157">
        <f>C45</f>
        <v>1116.1558333333332</v>
      </c>
      <c r="D87" s="164"/>
      <c r="E87" s="456" t="s">
        <v>45</v>
      </c>
      <c r="F87" s="456"/>
      <c r="G87" s="157">
        <f>G45</f>
        <v>1238.3238472222222</v>
      </c>
      <c r="H87" s="164"/>
    </row>
    <row r="88" spans="1:8" ht="33" customHeight="1">
      <c r="A88" s="456" t="s">
        <v>46</v>
      </c>
      <c r="B88" s="456"/>
      <c r="C88" s="157">
        <f>C51</f>
        <v>22.272312519697596</v>
      </c>
      <c r="D88" s="164"/>
      <c r="E88" s="456" t="s">
        <v>46</v>
      </c>
      <c r="F88" s="456"/>
      <c r="G88" s="157">
        <f>G51</f>
        <v>25.160424699473595</v>
      </c>
      <c r="H88" s="164"/>
    </row>
    <row r="89" spans="1:8" ht="33" customHeight="1">
      <c r="A89" s="456" t="s">
        <v>47</v>
      </c>
      <c r="B89" s="456"/>
      <c r="C89" s="157">
        <f>C60</f>
        <v>68.1964371817933</v>
      </c>
      <c r="D89" s="164"/>
      <c r="E89" s="456" t="s">
        <v>47</v>
      </c>
      <c r="F89" s="456"/>
      <c r="G89" s="157">
        <f>G60</f>
        <v>79.316192396547308</v>
      </c>
      <c r="H89" s="164"/>
    </row>
    <row r="90" spans="1:8" ht="33" customHeight="1">
      <c r="A90" s="456" t="s">
        <v>48</v>
      </c>
      <c r="B90" s="456"/>
      <c r="C90" s="157">
        <f>C69</f>
        <v>65.817941020663284</v>
      </c>
      <c r="D90" s="164"/>
      <c r="E90" s="456" t="s">
        <v>48</v>
      </c>
      <c r="F90" s="456"/>
      <c r="G90" s="157">
        <f>G69</f>
        <v>65.817941020663284</v>
      </c>
      <c r="H90" s="164"/>
    </row>
    <row r="91" spans="1:8" ht="33" customHeight="1">
      <c r="A91" s="456" t="s">
        <v>49</v>
      </c>
      <c r="B91" s="456"/>
      <c r="C91" s="157">
        <f>C77</f>
        <v>324.72893387029052</v>
      </c>
      <c r="D91" s="164"/>
      <c r="E91" s="456" t="s">
        <v>49</v>
      </c>
      <c r="F91" s="456"/>
      <c r="G91" s="157">
        <f>G77</f>
        <v>376.21660794030248</v>
      </c>
      <c r="H91" s="164"/>
    </row>
    <row r="92" spans="1:8" ht="33" customHeight="1">
      <c r="A92" s="457" t="s">
        <v>241</v>
      </c>
      <c r="B92" s="457"/>
      <c r="C92" s="183">
        <f>SUM(C86:C91)</f>
        <v>2710.1714579257778</v>
      </c>
      <c r="D92" s="164"/>
      <c r="E92" s="457" t="s">
        <v>240</v>
      </c>
      <c r="F92" s="457"/>
      <c r="G92" s="183">
        <f>SUM(G86:G91)</f>
        <v>3139.8850132792086</v>
      </c>
      <c r="H92" s="164"/>
    </row>
    <row r="93" spans="1:8" ht="33" customHeight="1">
      <c r="A93" s="164"/>
      <c r="B93" s="164"/>
      <c r="C93" s="185"/>
      <c r="D93" s="184"/>
      <c r="E93" s="164"/>
      <c r="F93" s="164"/>
      <c r="G93" s="185"/>
      <c r="H93" s="164"/>
    </row>
    <row r="94" spans="1:8" ht="33" customHeight="1">
      <c r="A94" s="164"/>
      <c r="B94" s="164"/>
      <c r="C94" s="185"/>
      <c r="D94" s="164"/>
      <c r="E94" s="164"/>
      <c r="F94" s="164"/>
      <c r="G94" s="185"/>
      <c r="H94" s="164"/>
    </row>
    <row r="95" spans="1:8">
      <c r="A95" s="164"/>
      <c r="B95" s="164"/>
      <c r="C95" s="185"/>
      <c r="D95" s="164"/>
      <c r="E95" s="164"/>
      <c r="F95" s="164"/>
      <c r="G95" s="185"/>
      <c r="H95" s="164"/>
    </row>
    <row r="96" spans="1:8">
      <c r="D96" s="164"/>
      <c r="H96" s="164"/>
    </row>
    <row r="97" spans="4:4">
      <c r="D97" s="148"/>
    </row>
  </sheetData>
  <sheetProtection algorithmName="SHA-512" hashValue="vycnSbcWYZfteszlOggX/wSCTlsTgnP7mkvZp/HLC/rXz2+jwvSj5XwwbPuHcRx9M6XBbkZbycRW9tMjz5HDRQ==" saltValue="hz6ahppW4qlEkwZtogA8cQ==" spinCount="100000" sheet="1" objects="1" scenarios="1"/>
  <mergeCells count="35">
    <mergeCell ref="A92:B92"/>
    <mergeCell ref="A86:B86"/>
    <mergeCell ref="A87:B87"/>
    <mergeCell ref="A88:B88"/>
    <mergeCell ref="A89:B89"/>
    <mergeCell ref="A90:B90"/>
    <mergeCell ref="A91:B91"/>
    <mergeCell ref="E91:F91"/>
    <mergeCell ref="E92:F92"/>
    <mergeCell ref="E68:G68"/>
    <mergeCell ref="E76:G76"/>
    <mergeCell ref="E85:G85"/>
    <mergeCell ref="E86:F86"/>
    <mergeCell ref="E87:F87"/>
    <mergeCell ref="E88:F88"/>
    <mergeCell ref="E89:F89"/>
    <mergeCell ref="E90:F90"/>
    <mergeCell ref="A26:C26"/>
    <mergeCell ref="A59:C59"/>
    <mergeCell ref="A68:C68"/>
    <mergeCell ref="A76:C76"/>
    <mergeCell ref="A85:C85"/>
    <mergeCell ref="A30:C30"/>
    <mergeCell ref="A44:C44"/>
    <mergeCell ref="A50:C50"/>
    <mergeCell ref="E26:G26"/>
    <mergeCell ref="E30:G30"/>
    <mergeCell ref="E44:G44"/>
    <mergeCell ref="E50:G50"/>
    <mergeCell ref="E59:G59"/>
    <mergeCell ref="A11:C11"/>
    <mergeCell ref="A17:C17"/>
    <mergeCell ref="E17:G17"/>
    <mergeCell ref="A25:C25"/>
    <mergeCell ref="E25:G25"/>
  </mergeCells>
  <pageMargins left="0.511811024" right="0.511811024" top="0.78740157499999996" bottom="0.78740157499999996" header="0.31496062000000002" footer="0.31496062000000002"/>
  <pageSetup paperSize="9" scale="88" orientation="portrait" verticalDpi="0" r:id="rId1"/>
  <colBreaks count="1" manualBreakCount="1">
    <brk id="3" max="1048575" man="1"/>
  </colBreaks>
  <tableParts count="4">
    <tablePart r:id="rId2"/>
    <tablePart r:id="rId3"/>
    <tablePart r:id="rId4"/>
    <tablePart r:id="rId5"/>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I87"/>
  <sheetViews>
    <sheetView showGridLines="0" topLeftCell="A70" zoomScale="85" zoomScaleNormal="85" workbookViewId="0">
      <selection activeCell="G85" sqref="G85"/>
    </sheetView>
  </sheetViews>
  <sheetFormatPr defaultColWidth="9.140625" defaultRowHeight="15"/>
  <cols>
    <col min="1" max="1" width="7.5703125" customWidth="1"/>
    <col min="2" max="2" width="73" customWidth="1"/>
    <col min="3" max="3" width="23.140625" bestFit="1" customWidth="1"/>
    <col min="4" max="4" width="11.5703125" bestFit="1" customWidth="1"/>
    <col min="5" max="5" width="19" bestFit="1" customWidth="1"/>
    <col min="6" max="6" width="17.42578125" bestFit="1" customWidth="1"/>
    <col min="7" max="7" width="20.28515625" customWidth="1"/>
    <col min="8" max="8" width="18.28515625" customWidth="1"/>
    <col min="9" max="9" width="19" customWidth="1"/>
    <col min="11" max="11" width="13" customWidth="1"/>
    <col min="12" max="12" width="12.140625" customWidth="1"/>
    <col min="13" max="13" width="15.7109375" customWidth="1"/>
  </cols>
  <sheetData>
    <row r="1" spans="1:9" ht="31.5">
      <c r="A1" s="423" t="s">
        <v>93</v>
      </c>
      <c r="B1" s="423" t="s">
        <v>185</v>
      </c>
      <c r="C1" s="423" t="s">
        <v>155</v>
      </c>
      <c r="D1" s="423" t="s">
        <v>186</v>
      </c>
      <c r="E1" s="423" t="s">
        <v>259</v>
      </c>
      <c r="F1" s="423" t="s">
        <v>258</v>
      </c>
      <c r="G1" s="423" t="s">
        <v>219</v>
      </c>
      <c r="H1" s="423" t="s">
        <v>220</v>
      </c>
      <c r="I1" s="423" t="s">
        <v>260</v>
      </c>
    </row>
    <row r="2" spans="1:9" ht="15.75">
      <c r="A2" s="424">
        <v>1</v>
      </c>
      <c r="B2" s="425" t="s">
        <v>647</v>
      </c>
      <c r="C2" s="426" t="s">
        <v>648</v>
      </c>
      <c r="D2" s="426">
        <v>226700</v>
      </c>
      <c r="E2" s="427">
        <f>Tabela14[[#This Row],[QTD ANUAL]]/12</f>
        <v>48</v>
      </c>
      <c r="F2" s="428">
        <v>576</v>
      </c>
      <c r="G2" s="429">
        <f>'PARAMETROS DA CONTRATAÇÃO'!AF7</f>
        <v>6.5</v>
      </c>
      <c r="H2" s="430">
        <f t="shared" ref="H2:H65" si="0">G2*E2</f>
        <v>312</v>
      </c>
      <c r="I2" s="430">
        <f>G2*F2</f>
        <v>3744</v>
      </c>
    </row>
    <row r="3" spans="1:9" ht="15.75">
      <c r="A3" s="424">
        <v>2</v>
      </c>
      <c r="B3" s="425" t="s">
        <v>303</v>
      </c>
      <c r="C3" s="426" t="s">
        <v>648</v>
      </c>
      <c r="D3" s="426">
        <v>441577</v>
      </c>
      <c r="E3" s="427">
        <f>Tabela14[[#This Row],[QTD ANUAL]]/12</f>
        <v>24</v>
      </c>
      <c r="F3" s="431">
        <v>288</v>
      </c>
      <c r="G3" s="429">
        <f>'PARAMETROS DA CONTRATAÇÃO'!AF8</f>
        <v>1.758</v>
      </c>
      <c r="H3" s="430">
        <f t="shared" si="0"/>
        <v>42.192</v>
      </c>
      <c r="I3" s="430">
        <f t="shared" ref="I3:I66" si="1">G3*F3</f>
        <v>506.30399999999997</v>
      </c>
    </row>
    <row r="4" spans="1:9" ht="15.75">
      <c r="A4" s="424">
        <v>3</v>
      </c>
      <c r="B4" s="425" t="s">
        <v>304</v>
      </c>
      <c r="C4" s="426" t="s">
        <v>155</v>
      </c>
      <c r="D4" s="426">
        <v>269943</v>
      </c>
      <c r="E4" s="427">
        <f>Tabela14[[#This Row],[QTD ANUAL]]/12</f>
        <v>24</v>
      </c>
      <c r="F4" s="428">
        <v>288</v>
      </c>
      <c r="G4" s="429">
        <f>'PARAMETROS DA CONTRATAÇÃO'!AF9</f>
        <v>2.25</v>
      </c>
      <c r="H4" s="430">
        <f t="shared" si="0"/>
        <v>54</v>
      </c>
      <c r="I4" s="430">
        <f t="shared" si="1"/>
        <v>648</v>
      </c>
    </row>
    <row r="5" spans="1:9" ht="15.75">
      <c r="A5" s="424">
        <v>4</v>
      </c>
      <c r="B5" s="425" t="s">
        <v>652</v>
      </c>
      <c r="C5" s="426" t="s">
        <v>653</v>
      </c>
      <c r="D5" s="426">
        <v>452508</v>
      </c>
      <c r="E5" s="427">
        <f>Tabela14[[#This Row],[QTD ANUAL]]/12</f>
        <v>0</v>
      </c>
      <c r="F5" s="431">
        <v>0</v>
      </c>
      <c r="G5" s="429">
        <f>'PARAMETROS DA CONTRATAÇÃO'!AF10</f>
        <v>12</v>
      </c>
      <c r="H5" s="430">
        <f t="shared" si="0"/>
        <v>0</v>
      </c>
      <c r="I5" s="430">
        <f t="shared" si="1"/>
        <v>0</v>
      </c>
    </row>
    <row r="6" spans="1:9" ht="15.75">
      <c r="A6" s="424">
        <v>5</v>
      </c>
      <c r="B6" s="425" t="s">
        <v>472</v>
      </c>
      <c r="C6" s="426" t="s">
        <v>155</v>
      </c>
      <c r="D6" s="426">
        <v>401337</v>
      </c>
      <c r="E6" s="427">
        <f>Tabela14[[#This Row],[QTD ANUAL]]/12</f>
        <v>0</v>
      </c>
      <c r="F6" s="428">
        <v>0</v>
      </c>
      <c r="G6" s="429">
        <f>'PARAMETROS DA CONTRATAÇÃO'!AF11</f>
        <v>15</v>
      </c>
      <c r="H6" s="430">
        <f t="shared" si="0"/>
        <v>0</v>
      </c>
      <c r="I6" s="430">
        <f t="shared" si="1"/>
        <v>0</v>
      </c>
    </row>
    <row r="7" spans="1:9" ht="15.75">
      <c r="A7" s="424">
        <v>6</v>
      </c>
      <c r="B7" s="425" t="s">
        <v>473</v>
      </c>
      <c r="C7" s="426" t="s">
        <v>196</v>
      </c>
      <c r="D7" s="426">
        <v>449257</v>
      </c>
      <c r="E7" s="427">
        <f>Tabela14[[#This Row],[QTD ANUAL]]/12</f>
        <v>0</v>
      </c>
      <c r="F7" s="431">
        <v>0</v>
      </c>
      <c r="G7" s="429">
        <f>'PARAMETROS DA CONTRATAÇÃO'!AF12</f>
        <v>15</v>
      </c>
      <c r="H7" s="430">
        <f t="shared" si="0"/>
        <v>0</v>
      </c>
      <c r="I7" s="430">
        <f t="shared" si="1"/>
        <v>0</v>
      </c>
    </row>
    <row r="8" spans="1:9" ht="15.75">
      <c r="A8" s="424">
        <v>7</v>
      </c>
      <c r="B8" s="425" t="s">
        <v>474</v>
      </c>
      <c r="C8" s="426" t="s">
        <v>532</v>
      </c>
      <c r="D8" s="426">
        <v>350872</v>
      </c>
      <c r="E8" s="427">
        <f>Tabela14[[#This Row],[QTD ANUAL]]/12</f>
        <v>0</v>
      </c>
      <c r="F8" s="428">
        <v>0</v>
      </c>
      <c r="G8" s="429">
        <f>'PARAMETROS DA CONTRATAÇÃO'!AF13</f>
        <v>15</v>
      </c>
      <c r="H8" s="430">
        <f t="shared" si="0"/>
        <v>0</v>
      </c>
      <c r="I8" s="430">
        <f t="shared" si="1"/>
        <v>0</v>
      </c>
    </row>
    <row r="9" spans="1:9" ht="15.75">
      <c r="A9" s="424">
        <v>8</v>
      </c>
      <c r="B9" s="425" t="s">
        <v>658</v>
      </c>
      <c r="C9" s="426" t="s">
        <v>196</v>
      </c>
      <c r="D9" s="426">
        <v>351129</v>
      </c>
      <c r="E9" s="427">
        <f>Tabela14[[#This Row],[QTD ANUAL]]/12</f>
        <v>0</v>
      </c>
      <c r="F9" s="431">
        <v>0</v>
      </c>
      <c r="G9" s="429">
        <f>'PARAMETROS DA CONTRATAÇÃO'!AF14</f>
        <v>15</v>
      </c>
      <c r="H9" s="430">
        <f t="shared" si="0"/>
        <v>0</v>
      </c>
      <c r="I9" s="430">
        <f t="shared" si="1"/>
        <v>0</v>
      </c>
    </row>
    <row r="10" spans="1:9" ht="47.25">
      <c r="A10" s="424">
        <v>9</v>
      </c>
      <c r="B10" s="425" t="s">
        <v>660</v>
      </c>
      <c r="C10" s="426" t="s">
        <v>196</v>
      </c>
      <c r="D10" s="426">
        <v>355838</v>
      </c>
      <c r="E10" s="427">
        <f>Tabela14[[#This Row],[QTD ANUAL]]/12</f>
        <v>0</v>
      </c>
      <c r="F10" s="428">
        <v>0</v>
      </c>
      <c r="G10" s="429">
        <f>'PARAMETROS DA CONTRATAÇÃO'!AF15</f>
        <v>15</v>
      </c>
      <c r="H10" s="430">
        <f t="shared" si="0"/>
        <v>0</v>
      </c>
      <c r="I10" s="430">
        <f t="shared" si="1"/>
        <v>0</v>
      </c>
    </row>
    <row r="11" spans="1:9" ht="15.75">
      <c r="A11" s="424">
        <v>10</v>
      </c>
      <c r="B11" s="425" t="s">
        <v>475</v>
      </c>
      <c r="C11" s="426" t="s">
        <v>196</v>
      </c>
      <c r="D11" s="426">
        <v>292586</v>
      </c>
      <c r="E11" s="427">
        <f>Tabela14[[#This Row],[QTD ANUAL]]/12</f>
        <v>0</v>
      </c>
      <c r="F11" s="431">
        <v>0</v>
      </c>
      <c r="G11" s="429">
        <f>'PARAMETROS DA CONTRATAÇÃO'!AF16</f>
        <v>15</v>
      </c>
      <c r="H11" s="430">
        <f t="shared" si="0"/>
        <v>0</v>
      </c>
      <c r="I11" s="430">
        <f t="shared" si="1"/>
        <v>0</v>
      </c>
    </row>
    <row r="12" spans="1:9" ht="78.75">
      <c r="A12" s="424">
        <v>11</v>
      </c>
      <c r="B12" s="425" t="s">
        <v>661</v>
      </c>
      <c r="C12" s="426" t="s">
        <v>155</v>
      </c>
      <c r="D12" s="426">
        <v>460643</v>
      </c>
      <c r="E12" s="427">
        <f>Tabela14[[#This Row],[QTD ANUAL]]/12</f>
        <v>0</v>
      </c>
      <c r="F12" s="428">
        <v>0</v>
      </c>
      <c r="G12" s="429">
        <f>'PARAMETROS DA CONTRATAÇÃO'!AF17</f>
        <v>35</v>
      </c>
      <c r="H12" s="430">
        <f t="shared" si="0"/>
        <v>0</v>
      </c>
      <c r="I12" s="430">
        <f t="shared" si="1"/>
        <v>0</v>
      </c>
    </row>
    <row r="13" spans="1:9" ht="15.75">
      <c r="A13" s="424">
        <v>12</v>
      </c>
      <c r="B13" s="425" t="s">
        <v>536</v>
      </c>
      <c r="C13" s="426" t="s">
        <v>196</v>
      </c>
      <c r="D13" s="426">
        <v>420084</v>
      </c>
      <c r="E13" s="427">
        <f>Tabela14[[#This Row],[QTD ANUAL]]/12</f>
        <v>36</v>
      </c>
      <c r="F13" s="431">
        <v>432</v>
      </c>
      <c r="G13" s="429">
        <f>'PARAMETROS DA CONTRATAÇÃO'!AF18</f>
        <v>15</v>
      </c>
      <c r="H13" s="430">
        <f t="shared" si="0"/>
        <v>540</v>
      </c>
      <c r="I13" s="430">
        <f t="shared" si="1"/>
        <v>6480</v>
      </c>
    </row>
    <row r="14" spans="1:9" ht="15.75">
      <c r="A14" s="424">
        <v>14</v>
      </c>
      <c r="B14" s="425" t="s">
        <v>218</v>
      </c>
      <c r="C14" s="426" t="s">
        <v>662</v>
      </c>
      <c r="D14" s="426">
        <v>472191</v>
      </c>
      <c r="E14" s="427">
        <f>Tabela14[[#This Row],[QTD ANUAL]]/12</f>
        <v>3</v>
      </c>
      <c r="F14" s="428">
        <v>36</v>
      </c>
      <c r="G14" s="429">
        <f>'PARAMETROS DA CONTRATAÇÃO'!AF19</f>
        <v>12</v>
      </c>
      <c r="H14" s="430">
        <f t="shared" si="0"/>
        <v>36</v>
      </c>
      <c r="I14" s="430">
        <f t="shared" si="1"/>
        <v>432</v>
      </c>
    </row>
    <row r="15" spans="1:9" ht="15.75">
      <c r="A15" s="424">
        <v>15</v>
      </c>
      <c r="B15" s="425" t="s">
        <v>476</v>
      </c>
      <c r="C15" s="426" t="s">
        <v>533</v>
      </c>
      <c r="D15" s="426">
        <v>388864</v>
      </c>
      <c r="E15" s="427">
        <f>Tabela14[[#This Row],[QTD ANUAL]]/12</f>
        <v>0</v>
      </c>
      <c r="F15" s="432">
        <v>0</v>
      </c>
      <c r="G15" s="429">
        <f>'PARAMETROS DA CONTRATAÇÃO'!AF20</f>
        <v>8</v>
      </c>
      <c r="H15" s="430">
        <f t="shared" si="0"/>
        <v>0</v>
      </c>
      <c r="I15" s="430">
        <f t="shared" si="1"/>
        <v>0</v>
      </c>
    </row>
    <row r="16" spans="1:9" ht="15.75">
      <c r="A16" s="424">
        <v>16</v>
      </c>
      <c r="B16" s="425" t="s">
        <v>663</v>
      </c>
      <c r="C16" s="426" t="s">
        <v>155</v>
      </c>
      <c r="D16" s="426">
        <v>241711</v>
      </c>
      <c r="E16" s="427">
        <f>Tabela14[[#This Row],[QTD ANUAL]]/12</f>
        <v>0</v>
      </c>
      <c r="F16" s="428">
        <v>0</v>
      </c>
      <c r="G16" s="429">
        <f>'PARAMETROS DA CONTRATAÇÃO'!AF21</f>
        <v>8</v>
      </c>
      <c r="H16" s="430">
        <f t="shared" si="0"/>
        <v>0</v>
      </c>
      <c r="I16" s="430">
        <f t="shared" si="1"/>
        <v>0</v>
      </c>
    </row>
    <row r="17" spans="1:9" ht="31.5">
      <c r="A17" s="424">
        <v>17</v>
      </c>
      <c r="B17" s="425" t="s">
        <v>195</v>
      </c>
      <c r="C17" s="426" t="s">
        <v>196</v>
      </c>
      <c r="D17" s="426">
        <v>293351</v>
      </c>
      <c r="E17" s="427">
        <f>Tabela14[[#This Row],[QTD ANUAL]]/12</f>
        <v>0</v>
      </c>
      <c r="F17" s="432">
        <v>0</v>
      </c>
      <c r="G17" s="429">
        <f>'PARAMETROS DA CONTRATAÇÃO'!AF22</f>
        <v>12</v>
      </c>
      <c r="H17" s="430">
        <f t="shared" si="0"/>
        <v>0</v>
      </c>
      <c r="I17" s="430">
        <f t="shared" si="1"/>
        <v>0</v>
      </c>
    </row>
    <row r="18" spans="1:9" ht="15.75">
      <c r="A18" s="424">
        <v>18</v>
      </c>
      <c r="B18" s="425" t="s">
        <v>197</v>
      </c>
      <c r="C18" s="426" t="s">
        <v>664</v>
      </c>
      <c r="D18" s="426">
        <v>331905</v>
      </c>
      <c r="E18" s="427">
        <f>Tabela14[[#This Row],[QTD ANUAL]]/12</f>
        <v>24</v>
      </c>
      <c r="F18" s="428">
        <v>288</v>
      </c>
      <c r="G18" s="429">
        <f>'PARAMETROS DA CONTRATAÇÃO'!AF23</f>
        <v>3.5</v>
      </c>
      <c r="H18" s="430">
        <f t="shared" si="0"/>
        <v>84</v>
      </c>
      <c r="I18" s="430">
        <f t="shared" si="1"/>
        <v>1008</v>
      </c>
    </row>
    <row r="19" spans="1:9" ht="15.75">
      <c r="A19" s="424">
        <v>19</v>
      </c>
      <c r="B19" s="425" t="s">
        <v>477</v>
      </c>
      <c r="C19" s="426" t="s">
        <v>665</v>
      </c>
      <c r="D19" s="426">
        <v>299607</v>
      </c>
      <c r="E19" s="427">
        <f>Tabela14[[#This Row],[QTD ANUAL]]/12</f>
        <v>0</v>
      </c>
      <c r="F19" s="432">
        <v>0</v>
      </c>
      <c r="G19" s="429">
        <f>'PARAMETROS DA CONTRATAÇÃO'!AF24</f>
        <v>1.5</v>
      </c>
      <c r="H19" s="430">
        <f t="shared" si="0"/>
        <v>0</v>
      </c>
      <c r="I19" s="430">
        <f t="shared" si="1"/>
        <v>0</v>
      </c>
    </row>
    <row r="20" spans="1:9" ht="15.75">
      <c r="A20" s="424">
        <v>20</v>
      </c>
      <c r="B20" s="425" t="s">
        <v>666</v>
      </c>
      <c r="C20" s="426" t="s">
        <v>665</v>
      </c>
      <c r="D20" s="426">
        <v>449798</v>
      </c>
      <c r="E20" s="427">
        <f>Tabela14[[#This Row],[QTD ANUAL]]/12</f>
        <v>0</v>
      </c>
      <c r="F20" s="428">
        <v>0</v>
      </c>
      <c r="G20" s="429">
        <f>'PARAMETROS DA CONTRATAÇÃO'!AF25</f>
        <v>1.5</v>
      </c>
      <c r="H20" s="430">
        <f t="shared" si="0"/>
        <v>0</v>
      </c>
      <c r="I20" s="430">
        <f t="shared" si="1"/>
        <v>0</v>
      </c>
    </row>
    <row r="21" spans="1:9" ht="15.75">
      <c r="A21" s="424">
        <v>21</v>
      </c>
      <c r="B21" s="425" t="s">
        <v>478</v>
      </c>
      <c r="C21" s="426" t="s">
        <v>533</v>
      </c>
      <c r="D21" s="426">
        <v>432428</v>
      </c>
      <c r="E21" s="427">
        <f>Tabela14[[#This Row],[QTD ANUAL]]/12</f>
        <v>0</v>
      </c>
      <c r="F21" s="432">
        <v>0</v>
      </c>
      <c r="G21" s="429">
        <f>'PARAMETROS DA CONTRATAÇÃO'!AF26</f>
        <v>2.5</v>
      </c>
      <c r="H21" s="430">
        <f t="shared" si="0"/>
        <v>0</v>
      </c>
      <c r="I21" s="430">
        <f t="shared" si="1"/>
        <v>0</v>
      </c>
    </row>
    <row r="22" spans="1:9" ht="15.75">
      <c r="A22" s="424">
        <v>22</v>
      </c>
      <c r="B22" s="425" t="s">
        <v>479</v>
      </c>
      <c r="C22" s="426" t="s">
        <v>196</v>
      </c>
      <c r="D22" s="426">
        <v>463157</v>
      </c>
      <c r="E22" s="427">
        <f>Tabela14[[#This Row],[QTD ANUAL]]/12</f>
        <v>0</v>
      </c>
      <c r="F22" s="428">
        <v>0</v>
      </c>
      <c r="G22" s="429">
        <f>'PARAMETROS DA CONTRATAÇÃO'!AF27</f>
        <v>9.5</v>
      </c>
      <c r="H22" s="430">
        <f t="shared" si="0"/>
        <v>0</v>
      </c>
      <c r="I22" s="430">
        <f t="shared" si="1"/>
        <v>0</v>
      </c>
    </row>
    <row r="23" spans="1:9" ht="15.75">
      <c r="A23" s="424">
        <v>23</v>
      </c>
      <c r="B23" s="425" t="s">
        <v>480</v>
      </c>
      <c r="C23" s="426" t="s">
        <v>155</v>
      </c>
      <c r="D23" s="426">
        <v>40231</v>
      </c>
      <c r="E23" s="427">
        <f>Tabela14[[#This Row],[QTD ANUAL]]/12</f>
        <v>0</v>
      </c>
      <c r="F23" s="432">
        <v>0</v>
      </c>
      <c r="G23" s="429">
        <f>'PARAMETROS DA CONTRATAÇÃO'!AF28</f>
        <v>8</v>
      </c>
      <c r="H23" s="430">
        <f t="shared" si="0"/>
        <v>0</v>
      </c>
      <c r="I23" s="430">
        <f t="shared" si="1"/>
        <v>0</v>
      </c>
    </row>
    <row r="24" spans="1:9" ht="15.75">
      <c r="A24" s="424">
        <v>24</v>
      </c>
      <c r="B24" s="425" t="s">
        <v>481</v>
      </c>
      <c r="C24" s="426" t="s">
        <v>155</v>
      </c>
      <c r="D24" s="426">
        <v>441576</v>
      </c>
      <c r="E24" s="427">
        <f>Tabela14[[#This Row],[QTD ANUAL]]/12</f>
        <v>0</v>
      </c>
      <c r="F24" s="428">
        <v>0</v>
      </c>
      <c r="G24" s="429">
        <f>'PARAMETROS DA CONTRATAÇÃO'!AF29</f>
        <v>35</v>
      </c>
      <c r="H24" s="430">
        <f t="shared" si="0"/>
        <v>0</v>
      </c>
      <c r="I24" s="430">
        <f t="shared" si="1"/>
        <v>0</v>
      </c>
    </row>
    <row r="25" spans="1:9" ht="15.75">
      <c r="A25" s="424">
        <v>25</v>
      </c>
      <c r="B25" s="425" t="s">
        <v>482</v>
      </c>
      <c r="C25" s="426" t="s">
        <v>155</v>
      </c>
      <c r="D25" s="426">
        <v>441576</v>
      </c>
      <c r="E25" s="427">
        <f>Tabela14[[#This Row],[QTD ANUAL]]/12</f>
        <v>0</v>
      </c>
      <c r="F25" s="432">
        <v>0</v>
      </c>
      <c r="G25" s="429">
        <f>'PARAMETROS DA CONTRATAÇÃO'!AF30</f>
        <v>35</v>
      </c>
      <c r="H25" s="430">
        <f t="shared" si="0"/>
        <v>0</v>
      </c>
      <c r="I25" s="430">
        <f t="shared" si="1"/>
        <v>0</v>
      </c>
    </row>
    <row r="26" spans="1:9" ht="15.75">
      <c r="A26" s="424">
        <v>26</v>
      </c>
      <c r="B26" s="425" t="s">
        <v>483</v>
      </c>
      <c r="C26" s="426" t="s">
        <v>155</v>
      </c>
      <c r="D26" s="426">
        <v>404651</v>
      </c>
      <c r="E26" s="427">
        <f>Tabela14[[#This Row],[QTD ANUAL]]/12</f>
        <v>0</v>
      </c>
      <c r="F26" s="428">
        <v>0</v>
      </c>
      <c r="G26" s="429">
        <f>'PARAMETROS DA CONTRATAÇÃO'!AF31</f>
        <v>35</v>
      </c>
      <c r="H26" s="430">
        <f t="shared" si="0"/>
        <v>0</v>
      </c>
      <c r="I26" s="430">
        <f t="shared" si="1"/>
        <v>0</v>
      </c>
    </row>
    <row r="27" spans="1:9" ht="15.75">
      <c r="A27" s="424">
        <v>27</v>
      </c>
      <c r="B27" s="425" t="s">
        <v>668</v>
      </c>
      <c r="C27" s="426" t="s">
        <v>155</v>
      </c>
      <c r="D27" s="426">
        <v>441576</v>
      </c>
      <c r="E27" s="427">
        <f>Tabela14[[#This Row],[QTD ANUAL]]/12</f>
        <v>0</v>
      </c>
      <c r="F27" s="432">
        <v>0</v>
      </c>
      <c r="G27" s="429">
        <f>'PARAMETROS DA CONTRATAÇÃO'!AF32</f>
        <v>20</v>
      </c>
      <c r="H27" s="430">
        <f t="shared" si="0"/>
        <v>0</v>
      </c>
      <c r="I27" s="430">
        <f t="shared" si="1"/>
        <v>0</v>
      </c>
    </row>
    <row r="28" spans="1:9" ht="15.75">
      <c r="A28" s="424">
        <v>28</v>
      </c>
      <c r="B28" s="425" t="s">
        <v>198</v>
      </c>
      <c r="C28" s="426" t="s">
        <v>155</v>
      </c>
      <c r="D28" s="426">
        <v>446274</v>
      </c>
      <c r="E28" s="427">
        <f>Tabela14[[#This Row],[QTD ANUAL]]/12</f>
        <v>6</v>
      </c>
      <c r="F28" s="428">
        <v>72</v>
      </c>
      <c r="G28" s="429">
        <f>'PARAMETROS DA CONTRATAÇÃO'!AF33</f>
        <v>3.5</v>
      </c>
      <c r="H28" s="430">
        <f t="shared" si="0"/>
        <v>21</v>
      </c>
      <c r="I28" s="430">
        <f t="shared" si="1"/>
        <v>252</v>
      </c>
    </row>
    <row r="29" spans="1:9" ht="15.75">
      <c r="A29" s="424">
        <v>29</v>
      </c>
      <c r="B29" s="425" t="s">
        <v>199</v>
      </c>
      <c r="C29" s="426" t="s">
        <v>155</v>
      </c>
      <c r="D29" s="426">
        <v>331870</v>
      </c>
      <c r="E29" s="427">
        <f>Tabela14[[#This Row],[QTD ANUAL]]/12</f>
        <v>0.41666666666666669</v>
      </c>
      <c r="F29" s="432">
        <v>5</v>
      </c>
      <c r="G29" s="429">
        <f>'PARAMETROS DA CONTRATAÇÃO'!AF34</f>
        <v>12</v>
      </c>
      <c r="H29" s="430">
        <f t="shared" si="0"/>
        <v>5</v>
      </c>
      <c r="I29" s="430">
        <f t="shared" si="1"/>
        <v>60</v>
      </c>
    </row>
    <row r="30" spans="1:9" ht="15.75">
      <c r="A30" s="424">
        <v>30</v>
      </c>
      <c r="B30" s="425" t="s">
        <v>484</v>
      </c>
      <c r="C30" s="426" t="s">
        <v>155</v>
      </c>
      <c r="D30" s="426">
        <v>30236</v>
      </c>
      <c r="E30" s="427">
        <f>Tabela14[[#This Row],[QTD ANUAL]]/12</f>
        <v>0</v>
      </c>
      <c r="F30" s="433">
        <v>0</v>
      </c>
      <c r="G30" s="429">
        <f>'PARAMETROS DA CONTRATAÇÃO'!AF35</f>
        <v>16</v>
      </c>
      <c r="H30" s="430">
        <f t="shared" si="0"/>
        <v>0</v>
      </c>
      <c r="I30" s="430">
        <f t="shared" si="1"/>
        <v>0</v>
      </c>
    </row>
    <row r="31" spans="1:9" ht="15.75">
      <c r="A31" s="424">
        <v>31</v>
      </c>
      <c r="B31" s="425" t="s">
        <v>485</v>
      </c>
      <c r="C31" s="426" t="s">
        <v>155</v>
      </c>
      <c r="D31" s="426">
        <v>419326</v>
      </c>
      <c r="E31" s="427">
        <f>Tabela14[[#This Row],[QTD ANUAL]]/12</f>
        <v>10</v>
      </c>
      <c r="F31" s="432">
        <v>120</v>
      </c>
      <c r="G31" s="429">
        <f>'PARAMETROS DA CONTRATAÇÃO'!AF36</f>
        <v>4</v>
      </c>
      <c r="H31" s="430">
        <f t="shared" si="0"/>
        <v>40</v>
      </c>
      <c r="I31" s="430">
        <f t="shared" si="1"/>
        <v>480</v>
      </c>
    </row>
    <row r="32" spans="1:9" ht="15.75">
      <c r="A32" s="424">
        <v>32</v>
      </c>
      <c r="B32" s="425" t="s">
        <v>486</v>
      </c>
      <c r="C32" s="426" t="s">
        <v>155</v>
      </c>
      <c r="D32" s="426">
        <v>422385</v>
      </c>
      <c r="E32" s="427">
        <f>Tabela14[[#This Row],[QTD ANUAL]]/12</f>
        <v>0</v>
      </c>
      <c r="F32" s="428">
        <v>0</v>
      </c>
      <c r="G32" s="429">
        <f>'PARAMETROS DA CONTRATAÇÃO'!AF37</f>
        <v>6</v>
      </c>
      <c r="H32" s="430">
        <f t="shared" si="0"/>
        <v>0</v>
      </c>
      <c r="I32" s="430">
        <f t="shared" si="1"/>
        <v>0</v>
      </c>
    </row>
    <row r="33" spans="1:9" ht="15.75">
      <c r="A33" s="424">
        <v>33</v>
      </c>
      <c r="B33" s="425" t="s">
        <v>487</v>
      </c>
      <c r="C33" s="426" t="s">
        <v>155</v>
      </c>
      <c r="D33" s="426">
        <v>428838</v>
      </c>
      <c r="E33" s="427">
        <f>Tabela14[[#This Row],[QTD ANUAL]]/12</f>
        <v>0</v>
      </c>
      <c r="F33" s="432">
        <v>0</v>
      </c>
      <c r="G33" s="429">
        <f>'PARAMETROS DA CONTRATAÇÃO'!AF38</f>
        <v>20</v>
      </c>
      <c r="H33" s="430">
        <f t="shared" si="0"/>
        <v>0</v>
      </c>
      <c r="I33" s="430">
        <f t="shared" si="1"/>
        <v>0</v>
      </c>
    </row>
    <row r="34" spans="1:9" ht="15.75">
      <c r="A34" s="424">
        <v>34</v>
      </c>
      <c r="B34" s="425" t="s">
        <v>200</v>
      </c>
      <c r="C34" s="426" t="s">
        <v>155</v>
      </c>
      <c r="D34" s="426">
        <v>299630</v>
      </c>
      <c r="E34" s="427">
        <f>Tabela14[[#This Row],[QTD ANUAL]]/12</f>
        <v>10</v>
      </c>
      <c r="F34" s="428">
        <v>120</v>
      </c>
      <c r="G34" s="429">
        <f>'PARAMETROS DA CONTRATAÇÃO'!AF39</f>
        <v>5</v>
      </c>
      <c r="H34" s="430">
        <f t="shared" si="0"/>
        <v>50</v>
      </c>
      <c r="I34" s="430">
        <f t="shared" si="1"/>
        <v>600</v>
      </c>
    </row>
    <row r="35" spans="1:9" ht="15.75">
      <c r="A35" s="424">
        <v>35</v>
      </c>
      <c r="B35" s="425" t="s">
        <v>488</v>
      </c>
      <c r="C35" s="426" t="s">
        <v>155</v>
      </c>
      <c r="D35" s="426">
        <v>272254</v>
      </c>
      <c r="E35" s="427">
        <f>Tabela14[[#This Row],[QTD ANUAL]]/12</f>
        <v>0</v>
      </c>
      <c r="F35" s="432">
        <v>0</v>
      </c>
      <c r="G35" s="429">
        <f>'PARAMETROS DA CONTRATAÇÃO'!AF40</f>
        <v>2.5</v>
      </c>
      <c r="H35" s="430">
        <f t="shared" si="0"/>
        <v>0</v>
      </c>
      <c r="I35" s="430">
        <f t="shared" si="1"/>
        <v>0</v>
      </c>
    </row>
    <row r="36" spans="1:9" ht="15.75">
      <c r="A36" s="424">
        <v>36</v>
      </c>
      <c r="B36" s="425" t="s">
        <v>489</v>
      </c>
      <c r="C36" s="426" t="s">
        <v>155</v>
      </c>
      <c r="D36" s="426">
        <v>405330</v>
      </c>
      <c r="E36" s="427">
        <f>Tabela14[[#This Row],[QTD ANUAL]]/12</f>
        <v>0</v>
      </c>
      <c r="F36" s="428">
        <v>0</v>
      </c>
      <c r="G36" s="429">
        <f>'PARAMETROS DA CONTRATAÇÃO'!AF41</f>
        <v>8</v>
      </c>
      <c r="H36" s="430">
        <f t="shared" si="0"/>
        <v>0</v>
      </c>
      <c r="I36" s="430">
        <f t="shared" si="1"/>
        <v>0</v>
      </c>
    </row>
    <row r="37" spans="1:9" ht="15.75">
      <c r="A37" s="424">
        <v>37</v>
      </c>
      <c r="B37" s="425" t="s">
        <v>490</v>
      </c>
      <c r="C37" s="426" t="s">
        <v>155</v>
      </c>
      <c r="D37" s="426">
        <v>259208</v>
      </c>
      <c r="E37" s="427">
        <f>Tabela14[[#This Row],[QTD ANUAL]]/12</f>
        <v>0</v>
      </c>
      <c r="F37" s="432">
        <v>0</v>
      </c>
      <c r="G37" s="429">
        <f>'PARAMETROS DA CONTRATAÇÃO'!AF42</f>
        <v>6.5</v>
      </c>
      <c r="H37" s="430">
        <f t="shared" si="0"/>
        <v>0</v>
      </c>
      <c r="I37" s="430">
        <f t="shared" si="1"/>
        <v>0</v>
      </c>
    </row>
    <row r="38" spans="1:9" ht="31.5">
      <c r="A38" s="424">
        <v>38</v>
      </c>
      <c r="B38" s="425" t="s">
        <v>201</v>
      </c>
      <c r="C38" s="426" t="s">
        <v>155</v>
      </c>
      <c r="D38" s="426">
        <v>454030</v>
      </c>
      <c r="E38" s="427">
        <f>Tabela14[[#This Row],[QTD ANUAL]]/12</f>
        <v>10</v>
      </c>
      <c r="F38" s="428">
        <v>120</v>
      </c>
      <c r="G38" s="429">
        <f>'PARAMETROS DA CONTRATAÇÃO'!AF43</f>
        <v>4</v>
      </c>
      <c r="H38" s="430">
        <f t="shared" si="0"/>
        <v>40</v>
      </c>
      <c r="I38" s="430">
        <f t="shared" si="1"/>
        <v>480</v>
      </c>
    </row>
    <row r="39" spans="1:9" ht="15.75">
      <c r="A39" s="424">
        <v>39</v>
      </c>
      <c r="B39" s="425" t="s">
        <v>491</v>
      </c>
      <c r="C39" s="426" t="s">
        <v>155</v>
      </c>
      <c r="D39" s="426">
        <v>264646</v>
      </c>
      <c r="E39" s="427">
        <f>Tabela14[[#This Row],[QTD ANUAL]]/12</f>
        <v>0</v>
      </c>
      <c r="F39" s="432">
        <v>0</v>
      </c>
      <c r="G39" s="429">
        <f>'PARAMETROS DA CONTRATAÇÃO'!AF44</f>
        <v>12</v>
      </c>
      <c r="H39" s="430">
        <f t="shared" si="0"/>
        <v>0</v>
      </c>
      <c r="I39" s="430">
        <f t="shared" si="1"/>
        <v>0</v>
      </c>
    </row>
    <row r="40" spans="1:9" ht="15.75">
      <c r="A40" s="424">
        <v>40</v>
      </c>
      <c r="B40" s="434" t="s">
        <v>721</v>
      </c>
      <c r="C40" s="426" t="s">
        <v>155</v>
      </c>
      <c r="D40" s="426">
        <v>479126</v>
      </c>
      <c r="E40" s="427">
        <f>Tabela14[[#This Row],[QTD ANUAL]]/12</f>
        <v>36</v>
      </c>
      <c r="F40" s="428">
        <v>432</v>
      </c>
      <c r="G40" s="429">
        <f>'PARAMETROS DA CONTRATAÇÃO'!AF45</f>
        <v>4</v>
      </c>
      <c r="H40" s="430">
        <f t="shared" si="0"/>
        <v>144</v>
      </c>
      <c r="I40" s="430">
        <f t="shared" si="1"/>
        <v>1728</v>
      </c>
    </row>
    <row r="41" spans="1:9" ht="15.75">
      <c r="A41" s="424">
        <v>41</v>
      </c>
      <c r="B41" s="434" t="s">
        <v>492</v>
      </c>
      <c r="C41" s="426" t="s">
        <v>155</v>
      </c>
      <c r="D41" s="426">
        <v>405276</v>
      </c>
      <c r="E41" s="427">
        <f>Tabela14[[#This Row],[QTD ANUAL]]/12</f>
        <v>0</v>
      </c>
      <c r="F41" s="432">
        <v>0</v>
      </c>
      <c r="G41" s="429">
        <f>'PARAMETROS DA CONTRATAÇÃO'!AF46</f>
        <v>16</v>
      </c>
      <c r="H41" s="430">
        <f t="shared" si="0"/>
        <v>0</v>
      </c>
      <c r="I41" s="430">
        <f t="shared" si="1"/>
        <v>0</v>
      </c>
    </row>
    <row r="42" spans="1:9" ht="15.75">
      <c r="A42" s="424">
        <v>42</v>
      </c>
      <c r="B42" s="434" t="s">
        <v>203</v>
      </c>
      <c r="C42" s="426" t="s">
        <v>155</v>
      </c>
      <c r="D42" s="426">
        <v>346243</v>
      </c>
      <c r="E42" s="427">
        <f>Tabela14[[#This Row],[QTD ANUAL]]/12</f>
        <v>15</v>
      </c>
      <c r="F42" s="428">
        <v>180</v>
      </c>
      <c r="G42" s="429">
        <f>'PARAMETROS DA CONTRATAÇÃO'!AF47</f>
        <v>3.5</v>
      </c>
      <c r="H42" s="430">
        <f t="shared" si="0"/>
        <v>52.5</v>
      </c>
      <c r="I42" s="430">
        <f t="shared" si="1"/>
        <v>630</v>
      </c>
    </row>
    <row r="43" spans="1:9" ht="31.5">
      <c r="A43" s="424">
        <v>43</v>
      </c>
      <c r="B43" s="434" t="s">
        <v>499</v>
      </c>
      <c r="C43" s="426" t="s">
        <v>212</v>
      </c>
      <c r="D43" s="426">
        <v>471345</v>
      </c>
      <c r="E43" s="427">
        <f>Tabela14[[#This Row],[QTD ANUAL]]/12</f>
        <v>0</v>
      </c>
      <c r="F43" s="432">
        <v>0</v>
      </c>
      <c r="G43" s="429">
        <f>'PARAMETROS DA CONTRATAÇÃO'!AF48</f>
        <v>3</v>
      </c>
      <c r="H43" s="430">
        <f t="shared" si="0"/>
        <v>0</v>
      </c>
      <c r="I43" s="430">
        <f t="shared" si="1"/>
        <v>0</v>
      </c>
    </row>
    <row r="44" spans="1:9" ht="15.75">
      <c r="A44" s="424">
        <v>44</v>
      </c>
      <c r="B44" s="434" t="s">
        <v>204</v>
      </c>
      <c r="C44" s="426" t="s">
        <v>534</v>
      </c>
      <c r="D44" s="426">
        <v>343268</v>
      </c>
      <c r="E44" s="427">
        <f>Tabela14[[#This Row],[QTD ANUAL]]/12</f>
        <v>22</v>
      </c>
      <c r="F44" s="428">
        <v>264</v>
      </c>
      <c r="G44" s="429">
        <f>'PARAMETROS DA CONTRATAÇÃO'!AF49</f>
        <v>3</v>
      </c>
      <c r="H44" s="430">
        <f t="shared" si="0"/>
        <v>66</v>
      </c>
      <c r="I44" s="430">
        <f t="shared" si="1"/>
        <v>792</v>
      </c>
    </row>
    <row r="45" spans="1:9" ht="15.75">
      <c r="A45" s="424">
        <v>45</v>
      </c>
      <c r="B45" s="434" t="s">
        <v>206</v>
      </c>
      <c r="C45" s="426" t="s">
        <v>534</v>
      </c>
      <c r="D45" s="426">
        <v>477578</v>
      </c>
      <c r="E45" s="427">
        <f>Tabela14[[#This Row],[QTD ANUAL]]/12</f>
        <v>22</v>
      </c>
      <c r="F45" s="432">
        <v>264</v>
      </c>
      <c r="G45" s="429">
        <f>'PARAMETROS DA CONTRATAÇÃO'!AF50</f>
        <v>3</v>
      </c>
      <c r="H45" s="430">
        <f t="shared" si="0"/>
        <v>66</v>
      </c>
      <c r="I45" s="430">
        <f t="shared" si="1"/>
        <v>792</v>
      </c>
    </row>
    <row r="46" spans="1:9" ht="31.5">
      <c r="A46" s="424">
        <v>46</v>
      </c>
      <c r="B46" s="434" t="s">
        <v>500</v>
      </c>
      <c r="C46" s="426" t="s">
        <v>535</v>
      </c>
      <c r="D46" s="426">
        <v>443397</v>
      </c>
      <c r="E46" s="427">
        <f>Tabela14[[#This Row],[QTD ANUAL]]/12</f>
        <v>0</v>
      </c>
      <c r="F46" s="428">
        <v>0</v>
      </c>
      <c r="G46" s="429">
        <f>'PARAMETROS DA CONTRATAÇÃO'!AF51</f>
        <v>25</v>
      </c>
      <c r="H46" s="430">
        <f t="shared" si="0"/>
        <v>0</v>
      </c>
      <c r="I46" s="430">
        <f t="shared" si="1"/>
        <v>0</v>
      </c>
    </row>
    <row r="47" spans="1:9" ht="15.75">
      <c r="A47" s="424">
        <v>47</v>
      </c>
      <c r="B47" s="434" t="s">
        <v>501</v>
      </c>
      <c r="C47" s="426" t="s">
        <v>534</v>
      </c>
      <c r="D47" s="426">
        <v>445984</v>
      </c>
      <c r="E47" s="427">
        <f>Tabela14[[#This Row],[QTD ANUAL]]/12</f>
        <v>0</v>
      </c>
      <c r="F47" s="432">
        <v>0</v>
      </c>
      <c r="G47" s="429">
        <f>'PARAMETROS DA CONTRATAÇÃO'!AF52</f>
        <v>4</v>
      </c>
      <c r="H47" s="430">
        <f t="shared" si="0"/>
        <v>0</v>
      </c>
      <c r="I47" s="430">
        <f t="shared" si="1"/>
        <v>0</v>
      </c>
    </row>
    <row r="48" spans="1:9" ht="15.75">
      <c r="A48" s="424">
        <v>48</v>
      </c>
      <c r="B48" s="434" t="s">
        <v>504</v>
      </c>
      <c r="C48" s="426" t="s">
        <v>212</v>
      </c>
      <c r="D48" s="426">
        <v>381343</v>
      </c>
      <c r="E48" s="427">
        <f>Tabela14[[#This Row],[QTD ANUAL]]/12</f>
        <v>0</v>
      </c>
      <c r="F48" s="428">
        <v>0</v>
      </c>
      <c r="G48" s="429">
        <f>'PARAMETROS DA CONTRATAÇÃO'!AF53</f>
        <v>2</v>
      </c>
      <c r="H48" s="430">
        <f t="shared" si="0"/>
        <v>0</v>
      </c>
      <c r="I48" s="430">
        <f t="shared" si="1"/>
        <v>0</v>
      </c>
    </row>
    <row r="49" spans="1:9" ht="15.75">
      <c r="A49" s="424">
        <v>49</v>
      </c>
      <c r="B49" s="434" t="s">
        <v>505</v>
      </c>
      <c r="C49" s="426" t="s">
        <v>155</v>
      </c>
      <c r="D49" s="426">
        <v>473394</v>
      </c>
      <c r="E49" s="427">
        <f>Tabela14[[#This Row],[QTD ANUAL]]/12</f>
        <v>0</v>
      </c>
      <c r="F49" s="432">
        <v>0</v>
      </c>
      <c r="G49" s="429">
        <f>'PARAMETROS DA CONTRATAÇÃO'!AF54</f>
        <v>3</v>
      </c>
      <c r="H49" s="430">
        <f t="shared" si="0"/>
        <v>0</v>
      </c>
      <c r="I49" s="430">
        <f t="shared" si="1"/>
        <v>0</v>
      </c>
    </row>
    <row r="50" spans="1:9" ht="15.75">
      <c r="A50" s="424">
        <v>50</v>
      </c>
      <c r="B50" s="434" t="s">
        <v>207</v>
      </c>
      <c r="C50" s="426" t="s">
        <v>212</v>
      </c>
      <c r="D50" s="426">
        <v>412712</v>
      </c>
      <c r="E50" s="427">
        <f>Tabela14[[#This Row],[QTD ANUAL]]/12</f>
        <v>1</v>
      </c>
      <c r="F50" s="428">
        <v>12</v>
      </c>
      <c r="G50" s="429">
        <f>'PARAMETROS DA CONTRATAÇÃO'!AF55</f>
        <v>6</v>
      </c>
      <c r="H50" s="430">
        <f t="shared" si="0"/>
        <v>6</v>
      </c>
      <c r="I50" s="430">
        <f t="shared" si="1"/>
        <v>72</v>
      </c>
    </row>
    <row r="51" spans="1:9" ht="15.75">
      <c r="A51" s="424">
        <v>51</v>
      </c>
      <c r="B51" s="434" t="s">
        <v>506</v>
      </c>
      <c r="C51" s="426" t="s">
        <v>155</v>
      </c>
      <c r="D51" s="426">
        <v>450515</v>
      </c>
      <c r="E51" s="427">
        <f>Tabela14[[#This Row],[QTD ANUAL]]/12</f>
        <v>0</v>
      </c>
      <c r="F51" s="432">
        <v>0</v>
      </c>
      <c r="G51" s="429">
        <f>'PARAMETROS DA CONTRATAÇÃO'!AF56</f>
        <v>4.5</v>
      </c>
      <c r="H51" s="430">
        <f t="shared" si="0"/>
        <v>0</v>
      </c>
      <c r="I51" s="430">
        <f t="shared" si="1"/>
        <v>0</v>
      </c>
    </row>
    <row r="52" spans="1:9" ht="15.75">
      <c r="A52" s="424">
        <v>52</v>
      </c>
      <c r="B52" s="434" t="s">
        <v>507</v>
      </c>
      <c r="C52" s="426" t="s">
        <v>155</v>
      </c>
      <c r="D52" s="426">
        <v>477466</v>
      </c>
      <c r="E52" s="427">
        <f>Tabela14[[#This Row],[QTD ANUAL]]/12</f>
        <v>0</v>
      </c>
      <c r="F52" s="428">
        <v>0</v>
      </c>
      <c r="G52" s="429">
        <f>'PARAMETROS DA CONTRATAÇÃO'!AF57</f>
        <v>10</v>
      </c>
      <c r="H52" s="430">
        <f t="shared" si="0"/>
        <v>0</v>
      </c>
      <c r="I52" s="430">
        <f t="shared" si="1"/>
        <v>0</v>
      </c>
    </row>
    <row r="53" spans="1:9" ht="15.75">
      <c r="A53" s="424">
        <v>53</v>
      </c>
      <c r="B53" s="425" t="s">
        <v>508</v>
      </c>
      <c r="C53" s="426" t="s">
        <v>155</v>
      </c>
      <c r="D53" s="426">
        <v>304749</v>
      </c>
      <c r="E53" s="427">
        <f>Tabela14[[#This Row],[QTD ANUAL]]/12</f>
        <v>0</v>
      </c>
      <c r="F53" s="432">
        <v>0</v>
      </c>
      <c r="G53" s="429">
        <f>'PARAMETROS DA CONTRATAÇÃO'!AF58</f>
        <v>6</v>
      </c>
      <c r="H53" s="430">
        <f t="shared" si="0"/>
        <v>0</v>
      </c>
      <c r="I53" s="430">
        <f t="shared" si="1"/>
        <v>0</v>
      </c>
    </row>
    <row r="54" spans="1:9" ht="15.75">
      <c r="A54" s="424">
        <v>54</v>
      </c>
      <c r="B54" s="425" t="s">
        <v>509</v>
      </c>
      <c r="C54" s="426" t="s">
        <v>155</v>
      </c>
      <c r="D54" s="426">
        <v>304749</v>
      </c>
      <c r="E54" s="427">
        <f>Tabela14[[#This Row],[QTD ANUAL]]/12</f>
        <v>0</v>
      </c>
      <c r="F54" s="428">
        <v>0</v>
      </c>
      <c r="G54" s="429">
        <f>'PARAMETROS DA CONTRATAÇÃO'!AF59</f>
        <v>6</v>
      </c>
      <c r="H54" s="430">
        <f t="shared" si="0"/>
        <v>0</v>
      </c>
      <c r="I54" s="430">
        <f t="shared" si="1"/>
        <v>0</v>
      </c>
    </row>
    <row r="55" spans="1:9" ht="15.75">
      <c r="A55" s="424">
        <v>55</v>
      </c>
      <c r="B55" s="425" t="s">
        <v>511</v>
      </c>
      <c r="C55" s="426" t="s">
        <v>212</v>
      </c>
      <c r="D55" s="426">
        <v>241726</v>
      </c>
      <c r="E55" s="427">
        <f>Tabela14[[#This Row],[QTD ANUAL]]/12</f>
        <v>7</v>
      </c>
      <c r="F55" s="432">
        <v>84</v>
      </c>
      <c r="G55" s="429">
        <f>'PARAMETROS DA CONTRATAÇÃO'!AF60</f>
        <v>3.5</v>
      </c>
      <c r="H55" s="430">
        <f t="shared" si="0"/>
        <v>24.5</v>
      </c>
      <c r="I55" s="430">
        <f t="shared" si="1"/>
        <v>294</v>
      </c>
    </row>
    <row r="56" spans="1:9" ht="31.5">
      <c r="A56" s="424">
        <v>56</v>
      </c>
      <c r="B56" s="425" t="s">
        <v>208</v>
      </c>
      <c r="C56" s="426" t="s">
        <v>155</v>
      </c>
      <c r="D56" s="426">
        <v>449786</v>
      </c>
      <c r="E56" s="427">
        <f>Tabela14[[#This Row],[QTD ANUAL]]/12</f>
        <v>20</v>
      </c>
      <c r="F56" s="428">
        <v>240</v>
      </c>
      <c r="G56" s="429">
        <f>'PARAMETROS DA CONTRATAÇÃO'!AF61</f>
        <v>4</v>
      </c>
      <c r="H56" s="430">
        <f t="shared" si="0"/>
        <v>80</v>
      </c>
      <c r="I56" s="430">
        <f t="shared" si="1"/>
        <v>960</v>
      </c>
    </row>
    <row r="57" spans="1:9" ht="15.75">
      <c r="A57" s="424">
        <v>57</v>
      </c>
      <c r="B57" s="425" t="s">
        <v>512</v>
      </c>
      <c r="C57" s="426" t="s">
        <v>155</v>
      </c>
      <c r="D57" s="426">
        <v>425748</v>
      </c>
      <c r="E57" s="427">
        <f>Tabela14[[#This Row],[QTD ANUAL]]/12</f>
        <v>0</v>
      </c>
      <c r="F57" s="432">
        <v>0</v>
      </c>
      <c r="G57" s="429">
        <f>'PARAMETROS DA CONTRATAÇÃO'!AF62</f>
        <v>1.5</v>
      </c>
      <c r="H57" s="430">
        <f t="shared" si="0"/>
        <v>0</v>
      </c>
      <c r="I57" s="430">
        <f t="shared" si="1"/>
        <v>0</v>
      </c>
    </row>
    <row r="58" spans="1:9" ht="15.75">
      <c r="A58" s="424">
        <v>58</v>
      </c>
      <c r="B58" s="425" t="s">
        <v>209</v>
      </c>
      <c r="C58" s="426" t="s">
        <v>155</v>
      </c>
      <c r="D58" s="426">
        <v>327844</v>
      </c>
      <c r="E58" s="427">
        <f>Tabela14[[#This Row],[QTD ANUAL]]/12</f>
        <v>6</v>
      </c>
      <c r="F58" s="428">
        <v>72</v>
      </c>
      <c r="G58" s="429">
        <f>'PARAMETROS DA CONTRATAÇÃO'!AF63</f>
        <v>6</v>
      </c>
      <c r="H58" s="430">
        <f t="shared" si="0"/>
        <v>36</v>
      </c>
      <c r="I58" s="430">
        <f t="shared" si="1"/>
        <v>432</v>
      </c>
    </row>
    <row r="59" spans="1:9" ht="15.75">
      <c r="A59" s="424">
        <v>59</v>
      </c>
      <c r="B59" s="425" t="s">
        <v>513</v>
      </c>
      <c r="C59" s="426" t="s">
        <v>155</v>
      </c>
      <c r="D59" s="426">
        <v>327844</v>
      </c>
      <c r="E59" s="427">
        <f>Tabela14[[#This Row],[QTD ANUAL]]/12</f>
        <v>0</v>
      </c>
      <c r="F59" s="432">
        <v>0</v>
      </c>
      <c r="G59" s="429">
        <f>'PARAMETROS DA CONTRATAÇÃO'!AF64</f>
        <v>4.5</v>
      </c>
      <c r="H59" s="430">
        <f t="shared" si="0"/>
        <v>0</v>
      </c>
      <c r="I59" s="430">
        <f t="shared" si="1"/>
        <v>0</v>
      </c>
    </row>
    <row r="60" spans="1:9" ht="31.5">
      <c r="A60" s="424">
        <v>60</v>
      </c>
      <c r="B60" s="425" t="s">
        <v>675</v>
      </c>
      <c r="C60" s="426" t="s">
        <v>155</v>
      </c>
      <c r="D60" s="426">
        <v>412918</v>
      </c>
      <c r="E60" s="427">
        <f>Tabela14[[#This Row],[QTD ANUAL]]/12</f>
        <v>6</v>
      </c>
      <c r="F60" s="428">
        <v>72</v>
      </c>
      <c r="G60" s="429">
        <f>'PARAMETROS DA CONTRATAÇÃO'!AF65</f>
        <v>8</v>
      </c>
      <c r="H60" s="430">
        <f t="shared" si="0"/>
        <v>48</v>
      </c>
      <c r="I60" s="430">
        <f t="shared" si="1"/>
        <v>576</v>
      </c>
    </row>
    <row r="61" spans="1:9" ht="31.5">
      <c r="A61" s="424">
        <v>61</v>
      </c>
      <c r="B61" s="425" t="s">
        <v>677</v>
      </c>
      <c r="C61" s="426" t="s">
        <v>155</v>
      </c>
      <c r="D61" s="426">
        <v>389042</v>
      </c>
      <c r="E61" s="427">
        <f>Tabela14[[#This Row],[QTD ANUAL]]/12</f>
        <v>0</v>
      </c>
      <c r="F61" s="432">
        <v>0</v>
      </c>
      <c r="G61" s="429">
        <f>'PARAMETROS DA CONTRATAÇÃO'!AF66</f>
        <v>8</v>
      </c>
      <c r="H61" s="430">
        <f t="shared" si="0"/>
        <v>0</v>
      </c>
      <c r="I61" s="430">
        <f t="shared" si="1"/>
        <v>0</v>
      </c>
    </row>
    <row r="62" spans="1:9" ht="15.75">
      <c r="A62" s="424">
        <v>62</v>
      </c>
      <c r="B62" s="425" t="s">
        <v>514</v>
      </c>
      <c r="C62" s="426" t="s">
        <v>155</v>
      </c>
      <c r="D62" s="426">
        <v>376554</v>
      </c>
      <c r="E62" s="427">
        <f>Tabela14[[#This Row],[QTD ANUAL]]/12</f>
        <v>0</v>
      </c>
      <c r="F62" s="428">
        <v>0</v>
      </c>
      <c r="G62" s="429">
        <f>'PARAMETROS DA CONTRATAÇÃO'!AF67</f>
        <v>8</v>
      </c>
      <c r="H62" s="430">
        <f t="shared" si="0"/>
        <v>0</v>
      </c>
      <c r="I62" s="430">
        <f t="shared" si="1"/>
        <v>0</v>
      </c>
    </row>
    <row r="63" spans="1:9" ht="15.75">
      <c r="A63" s="424">
        <v>63</v>
      </c>
      <c r="B63" s="425" t="s">
        <v>211</v>
      </c>
      <c r="C63" s="426" t="s">
        <v>155</v>
      </c>
      <c r="D63" s="426">
        <v>234737</v>
      </c>
      <c r="E63" s="427">
        <f>Tabela14[[#This Row],[QTD ANUAL]]/12</f>
        <v>20</v>
      </c>
      <c r="F63" s="432">
        <v>240</v>
      </c>
      <c r="G63" s="429">
        <f>'PARAMETROS DA CONTRATAÇÃO'!AF68</f>
        <v>2.5</v>
      </c>
      <c r="H63" s="430">
        <f t="shared" si="0"/>
        <v>50</v>
      </c>
      <c r="I63" s="430">
        <f t="shared" si="1"/>
        <v>600</v>
      </c>
    </row>
    <row r="64" spans="1:9" ht="15.75">
      <c r="A64" s="424">
        <v>64</v>
      </c>
      <c r="B64" s="425" t="s">
        <v>515</v>
      </c>
      <c r="C64" s="426" t="s">
        <v>155</v>
      </c>
      <c r="D64" s="426">
        <v>330354</v>
      </c>
      <c r="E64" s="427">
        <f>Tabela14[[#This Row],[QTD ANUAL]]/12</f>
        <v>0</v>
      </c>
      <c r="F64" s="428">
        <v>0</v>
      </c>
      <c r="G64" s="429">
        <f>'PARAMETROS DA CONTRATAÇÃO'!AF69</f>
        <v>15</v>
      </c>
      <c r="H64" s="430">
        <f t="shared" si="0"/>
        <v>0</v>
      </c>
      <c r="I64" s="430">
        <f t="shared" si="1"/>
        <v>0</v>
      </c>
    </row>
    <row r="65" spans="1:9" ht="15.75">
      <c r="A65" s="424">
        <v>65</v>
      </c>
      <c r="B65" s="425" t="s">
        <v>679</v>
      </c>
      <c r="C65" s="426" t="s">
        <v>155</v>
      </c>
      <c r="D65" s="426">
        <v>416506</v>
      </c>
      <c r="E65" s="427">
        <f>Tabela14[[#This Row],[QTD ANUAL]]/12</f>
        <v>0</v>
      </c>
      <c r="F65" s="432">
        <v>0</v>
      </c>
      <c r="G65" s="429">
        <f>'PARAMETROS DA CONTRATAÇÃO'!AF70</f>
        <v>15</v>
      </c>
      <c r="H65" s="430">
        <f t="shared" si="0"/>
        <v>0</v>
      </c>
      <c r="I65" s="430">
        <f t="shared" si="1"/>
        <v>0</v>
      </c>
    </row>
    <row r="66" spans="1:9" ht="15.75">
      <c r="A66" s="424">
        <v>66</v>
      </c>
      <c r="B66" s="425" t="s">
        <v>516</v>
      </c>
      <c r="C66" s="426" t="s">
        <v>155</v>
      </c>
      <c r="D66" s="426">
        <v>150589</v>
      </c>
      <c r="E66" s="427">
        <f>Tabela14[[#This Row],[QTD ANUAL]]/12</f>
        <v>0</v>
      </c>
      <c r="F66" s="428">
        <v>0</v>
      </c>
      <c r="G66" s="429">
        <f>'PARAMETROS DA CONTRATAÇÃO'!AF71</f>
        <v>17</v>
      </c>
      <c r="H66" s="430">
        <f t="shared" ref="H66:H86" si="2">G66*E66</f>
        <v>0</v>
      </c>
      <c r="I66" s="430">
        <f t="shared" si="1"/>
        <v>0</v>
      </c>
    </row>
    <row r="67" spans="1:9" ht="15.75">
      <c r="A67" s="424">
        <v>67</v>
      </c>
      <c r="B67" s="425" t="s">
        <v>517</v>
      </c>
      <c r="C67" s="426" t="s">
        <v>155</v>
      </c>
      <c r="D67" s="426">
        <v>150589</v>
      </c>
      <c r="E67" s="427">
        <f>Tabela14[[#This Row],[QTD ANUAL]]/12</f>
        <v>0</v>
      </c>
      <c r="F67" s="432">
        <v>0</v>
      </c>
      <c r="G67" s="429">
        <f>'PARAMETROS DA CONTRATAÇÃO'!AF72</f>
        <v>4</v>
      </c>
      <c r="H67" s="430">
        <f t="shared" si="2"/>
        <v>0</v>
      </c>
      <c r="I67" s="430">
        <f t="shared" ref="I67:I86" si="3">G67*F67</f>
        <v>0</v>
      </c>
    </row>
    <row r="68" spans="1:9" ht="15.75">
      <c r="A68" s="424">
        <v>68</v>
      </c>
      <c r="B68" s="425" t="s">
        <v>310</v>
      </c>
      <c r="C68" s="426" t="s">
        <v>155</v>
      </c>
      <c r="D68" s="426">
        <v>312074</v>
      </c>
      <c r="E68" s="427">
        <f>Tabela14[[#This Row],[QTD ANUAL]]/12</f>
        <v>10</v>
      </c>
      <c r="F68" s="428">
        <v>120</v>
      </c>
      <c r="G68" s="429">
        <f>'PARAMETROS DA CONTRATAÇÃO'!AF73</f>
        <v>4</v>
      </c>
      <c r="H68" s="430">
        <f t="shared" si="2"/>
        <v>40</v>
      </c>
      <c r="I68" s="430">
        <f t="shared" si="3"/>
        <v>480</v>
      </c>
    </row>
    <row r="69" spans="1:9" ht="15.75">
      <c r="A69" s="424">
        <v>69</v>
      </c>
      <c r="B69" s="425" t="s">
        <v>518</v>
      </c>
      <c r="C69" s="426" t="s">
        <v>155</v>
      </c>
      <c r="D69" s="426">
        <v>475888</v>
      </c>
      <c r="E69" s="427">
        <f>Tabela14[[#This Row],[QTD ANUAL]]/12</f>
        <v>0</v>
      </c>
      <c r="F69" s="432">
        <v>0</v>
      </c>
      <c r="G69" s="429">
        <f>'PARAMETROS DA CONTRATAÇÃO'!AF74</f>
        <v>4</v>
      </c>
      <c r="H69" s="430">
        <f t="shared" si="2"/>
        <v>0</v>
      </c>
      <c r="I69" s="430">
        <f t="shared" si="3"/>
        <v>0</v>
      </c>
    </row>
    <row r="70" spans="1:9" ht="15.75">
      <c r="A70" s="424">
        <v>70</v>
      </c>
      <c r="B70" s="425" t="s">
        <v>519</v>
      </c>
      <c r="C70" s="426" t="s">
        <v>155</v>
      </c>
      <c r="D70" s="426">
        <v>228861</v>
      </c>
      <c r="E70" s="427">
        <f>Tabela14[[#This Row],[QTD ANUAL]]/12</f>
        <v>0</v>
      </c>
      <c r="F70" s="428">
        <v>0</v>
      </c>
      <c r="G70" s="429">
        <f>'PARAMETROS DA CONTRATAÇÃO'!AF75</f>
        <v>12</v>
      </c>
      <c r="H70" s="430">
        <f t="shared" si="2"/>
        <v>0</v>
      </c>
      <c r="I70" s="430">
        <f t="shared" si="3"/>
        <v>0</v>
      </c>
    </row>
    <row r="71" spans="1:9" ht="15.75">
      <c r="A71" s="424">
        <v>71</v>
      </c>
      <c r="B71" s="425" t="s">
        <v>520</v>
      </c>
      <c r="C71" s="426" t="s">
        <v>155</v>
      </c>
      <c r="D71" s="426">
        <v>471301</v>
      </c>
      <c r="E71" s="427">
        <f>Tabela14[[#This Row],[QTD ANUAL]]/12</f>
        <v>0</v>
      </c>
      <c r="F71" s="432">
        <v>0</v>
      </c>
      <c r="G71" s="429">
        <f>'PARAMETROS DA CONTRATAÇÃO'!AF76</f>
        <v>12</v>
      </c>
      <c r="H71" s="430">
        <f t="shared" si="2"/>
        <v>0</v>
      </c>
      <c r="I71" s="430">
        <f t="shared" si="3"/>
        <v>0</v>
      </c>
    </row>
    <row r="72" spans="1:9" ht="15.75">
      <c r="A72" s="424">
        <v>72</v>
      </c>
      <c r="B72" s="425" t="s">
        <v>681</v>
      </c>
      <c r="C72" s="426" t="s">
        <v>155</v>
      </c>
      <c r="D72" s="426">
        <v>446184</v>
      </c>
      <c r="E72" s="427">
        <f>Tabela14[[#This Row],[QTD ANUAL]]/12</f>
        <v>0</v>
      </c>
      <c r="F72" s="428">
        <v>0</v>
      </c>
      <c r="G72" s="429">
        <f>'PARAMETROS DA CONTRATAÇÃO'!AF77</f>
        <v>12</v>
      </c>
      <c r="H72" s="430">
        <f t="shared" si="2"/>
        <v>0</v>
      </c>
      <c r="I72" s="430">
        <f t="shared" si="3"/>
        <v>0</v>
      </c>
    </row>
    <row r="73" spans="1:9" ht="15.75">
      <c r="A73" s="424">
        <v>73</v>
      </c>
      <c r="B73" s="425" t="s">
        <v>521</v>
      </c>
      <c r="C73" s="426" t="s">
        <v>155</v>
      </c>
      <c r="D73" s="426">
        <v>417262</v>
      </c>
      <c r="E73" s="427">
        <f>Tabela14[[#This Row],[QTD ANUAL]]/12</f>
        <v>0</v>
      </c>
      <c r="F73" s="432">
        <v>0</v>
      </c>
      <c r="G73" s="429">
        <f>'PARAMETROS DA CONTRATAÇÃO'!AF78</f>
        <v>12</v>
      </c>
      <c r="H73" s="430">
        <f t="shared" si="2"/>
        <v>0</v>
      </c>
      <c r="I73" s="430">
        <f t="shared" si="3"/>
        <v>0</v>
      </c>
    </row>
    <row r="74" spans="1:9" ht="15.75">
      <c r="A74" s="424">
        <v>74</v>
      </c>
      <c r="B74" s="425" t="s">
        <v>522</v>
      </c>
      <c r="C74" s="426" t="s">
        <v>155</v>
      </c>
      <c r="D74" s="426">
        <v>416696</v>
      </c>
      <c r="E74" s="427">
        <f>Tabela14[[#This Row],[QTD ANUAL]]/12</f>
        <v>0</v>
      </c>
      <c r="F74" s="428">
        <v>0</v>
      </c>
      <c r="G74" s="429">
        <f>'PARAMETROS DA CONTRATAÇÃO'!AF79</f>
        <v>12</v>
      </c>
      <c r="H74" s="430">
        <f t="shared" si="2"/>
        <v>0</v>
      </c>
      <c r="I74" s="430">
        <f t="shared" si="3"/>
        <v>0</v>
      </c>
    </row>
    <row r="75" spans="1:9" ht="15.75">
      <c r="A75" s="424">
        <v>75</v>
      </c>
      <c r="B75" s="425" t="s">
        <v>682</v>
      </c>
      <c r="C75" s="426" t="s">
        <v>155</v>
      </c>
      <c r="D75" s="426">
        <v>442214</v>
      </c>
      <c r="E75" s="427">
        <f>Tabela14[[#This Row],[QTD ANUAL]]/12</f>
        <v>0</v>
      </c>
      <c r="F75" s="432">
        <v>0</v>
      </c>
      <c r="G75" s="429">
        <f>'PARAMETROS DA CONTRATAÇÃO'!AF80</f>
        <v>12</v>
      </c>
      <c r="H75" s="430">
        <f t="shared" si="2"/>
        <v>0</v>
      </c>
      <c r="I75" s="430">
        <f t="shared" si="3"/>
        <v>0</v>
      </c>
    </row>
    <row r="76" spans="1:9" ht="15.75">
      <c r="A76" s="424">
        <v>76</v>
      </c>
      <c r="B76" s="425" t="s">
        <v>523</v>
      </c>
      <c r="C76" s="426" t="s">
        <v>155</v>
      </c>
      <c r="D76" s="426">
        <v>235287</v>
      </c>
      <c r="E76" s="427">
        <f>Tabela14[[#This Row],[QTD ANUAL]]/12</f>
        <v>0</v>
      </c>
      <c r="F76" s="428">
        <v>0</v>
      </c>
      <c r="G76" s="429">
        <f>'PARAMETROS DA CONTRATAÇÃO'!AF81</f>
        <v>6</v>
      </c>
      <c r="H76" s="430">
        <f t="shared" si="2"/>
        <v>0</v>
      </c>
      <c r="I76" s="430">
        <f t="shared" si="3"/>
        <v>0</v>
      </c>
    </row>
    <row r="77" spans="1:9" ht="15.75">
      <c r="A77" s="424">
        <v>77</v>
      </c>
      <c r="B77" s="425" t="s">
        <v>683</v>
      </c>
      <c r="C77" s="426" t="s">
        <v>155</v>
      </c>
      <c r="D77" s="426">
        <v>254879</v>
      </c>
      <c r="E77" s="427">
        <f>Tabela14[[#This Row],[QTD ANUAL]]/12</f>
        <v>0</v>
      </c>
      <c r="F77" s="432">
        <v>0</v>
      </c>
      <c r="G77" s="429">
        <f>'PARAMETROS DA CONTRATAÇÃO'!AF82</f>
        <v>6</v>
      </c>
      <c r="H77" s="430">
        <f t="shared" si="2"/>
        <v>0</v>
      </c>
      <c r="I77" s="430">
        <f t="shared" si="3"/>
        <v>0</v>
      </c>
    </row>
    <row r="78" spans="1:9" ht="15.75">
      <c r="A78" s="424">
        <v>78</v>
      </c>
      <c r="B78" s="425" t="s">
        <v>524</v>
      </c>
      <c r="C78" s="426" t="s">
        <v>155</v>
      </c>
      <c r="D78" s="426">
        <v>311420</v>
      </c>
      <c r="E78" s="427">
        <f>Tabela14[[#This Row],[QTD ANUAL]]/12</f>
        <v>0</v>
      </c>
      <c r="F78" s="428">
        <v>0</v>
      </c>
      <c r="G78" s="429">
        <f>'PARAMETROS DA CONTRATAÇÃO'!AF83</f>
        <v>6</v>
      </c>
      <c r="H78" s="430">
        <f t="shared" si="2"/>
        <v>0</v>
      </c>
      <c r="I78" s="430">
        <f t="shared" si="3"/>
        <v>0</v>
      </c>
    </row>
    <row r="79" spans="1:9" ht="15.75">
      <c r="A79" s="424">
        <v>79</v>
      </c>
      <c r="B79" s="425" t="s">
        <v>684</v>
      </c>
      <c r="C79" s="426" t="s">
        <v>155</v>
      </c>
      <c r="D79" s="426">
        <v>324827</v>
      </c>
      <c r="E79" s="427">
        <f>Tabela14[[#This Row],[QTD ANUAL]]/12</f>
        <v>10</v>
      </c>
      <c r="F79" s="432">
        <v>120</v>
      </c>
      <c r="G79" s="429">
        <f>'PARAMETROS DA CONTRATAÇÃO'!AF84</f>
        <v>4.5</v>
      </c>
      <c r="H79" s="430">
        <f t="shared" si="2"/>
        <v>45</v>
      </c>
      <c r="I79" s="430">
        <f t="shared" si="3"/>
        <v>540</v>
      </c>
    </row>
    <row r="80" spans="1:9" ht="31.5">
      <c r="A80" s="424">
        <v>80</v>
      </c>
      <c r="B80" s="425" t="s">
        <v>213</v>
      </c>
      <c r="C80" s="426" t="s">
        <v>155</v>
      </c>
      <c r="D80" s="426">
        <v>463131</v>
      </c>
      <c r="E80" s="427">
        <f>Tabela14[[#This Row],[QTD ANUAL]]/12</f>
        <v>15</v>
      </c>
      <c r="F80" s="428">
        <v>180</v>
      </c>
      <c r="G80" s="429">
        <f>'PARAMETROS DA CONTRATAÇÃO'!AF85</f>
        <v>24</v>
      </c>
      <c r="H80" s="430">
        <f t="shared" si="2"/>
        <v>360</v>
      </c>
      <c r="I80" s="430">
        <f t="shared" si="3"/>
        <v>4320</v>
      </c>
    </row>
    <row r="81" spans="1:9" ht="31.5">
      <c r="A81" s="424">
        <v>81</v>
      </c>
      <c r="B81" s="425" t="s">
        <v>525</v>
      </c>
      <c r="C81" s="426" t="s">
        <v>212</v>
      </c>
      <c r="D81" s="426">
        <v>403320</v>
      </c>
      <c r="E81" s="427">
        <f>Tabela14[[#This Row],[QTD ANUAL]]/12</f>
        <v>0</v>
      </c>
      <c r="F81" s="432">
        <v>0</v>
      </c>
      <c r="G81" s="429">
        <f>'PARAMETROS DA CONTRATAÇÃO'!AF86</f>
        <v>7.75</v>
      </c>
      <c r="H81" s="430">
        <f t="shared" si="2"/>
        <v>0</v>
      </c>
      <c r="I81" s="430">
        <f t="shared" si="3"/>
        <v>0</v>
      </c>
    </row>
    <row r="82" spans="1:9" ht="31.5">
      <c r="A82" s="424">
        <v>82</v>
      </c>
      <c r="B82" s="425" t="s">
        <v>214</v>
      </c>
      <c r="C82" s="426" t="s">
        <v>212</v>
      </c>
      <c r="D82" s="426">
        <v>403319</v>
      </c>
      <c r="E82" s="427">
        <f>Tabela14[[#This Row],[QTD ANUAL]]/12</f>
        <v>30</v>
      </c>
      <c r="F82" s="428">
        <v>360</v>
      </c>
      <c r="G82" s="429">
        <f>'PARAMETROS DA CONTRATAÇÃO'!AF87</f>
        <v>7.75</v>
      </c>
      <c r="H82" s="430">
        <f t="shared" si="2"/>
        <v>232.5</v>
      </c>
      <c r="I82" s="430">
        <f t="shared" si="3"/>
        <v>2790</v>
      </c>
    </row>
    <row r="83" spans="1:9" ht="47.25">
      <c r="A83" s="424">
        <v>83</v>
      </c>
      <c r="B83" s="425" t="s">
        <v>215</v>
      </c>
      <c r="C83" s="426" t="s">
        <v>212</v>
      </c>
      <c r="D83" s="426">
        <v>470833</v>
      </c>
      <c r="E83" s="427">
        <f>Tabela14[[#This Row],[QTD ANUAL]]/12</f>
        <v>20</v>
      </c>
      <c r="F83" s="432">
        <v>240</v>
      </c>
      <c r="G83" s="429">
        <f>'PARAMETROS DA CONTRATAÇÃO'!AF88</f>
        <v>7.75</v>
      </c>
      <c r="H83" s="430">
        <f t="shared" si="2"/>
        <v>155</v>
      </c>
      <c r="I83" s="430">
        <f t="shared" si="3"/>
        <v>1860</v>
      </c>
    </row>
    <row r="84" spans="1:9" ht="47.25">
      <c r="A84" s="424">
        <v>84</v>
      </c>
      <c r="B84" s="425" t="s">
        <v>216</v>
      </c>
      <c r="C84" s="426" t="s">
        <v>212</v>
      </c>
      <c r="D84" s="426">
        <v>458145</v>
      </c>
      <c r="E84" s="427">
        <f>Tabela14[[#This Row],[QTD ANUAL]]/12</f>
        <v>20</v>
      </c>
      <c r="F84" s="428">
        <v>240</v>
      </c>
      <c r="G84" s="429">
        <f>'PARAMETROS DA CONTRATAÇÃO'!AF89</f>
        <v>7.5</v>
      </c>
      <c r="H84" s="430">
        <f t="shared" si="2"/>
        <v>150</v>
      </c>
      <c r="I84" s="430">
        <f t="shared" si="3"/>
        <v>1800</v>
      </c>
    </row>
    <row r="85" spans="1:9" ht="47.25">
      <c r="A85" s="424">
        <v>85</v>
      </c>
      <c r="B85" s="425" t="s">
        <v>217</v>
      </c>
      <c r="C85" s="426" t="s">
        <v>212</v>
      </c>
      <c r="D85" s="426">
        <v>394459</v>
      </c>
      <c r="E85" s="427">
        <f>Tabela14[[#This Row],[QTD ANUAL]]/12</f>
        <v>20</v>
      </c>
      <c r="F85" s="432">
        <v>240</v>
      </c>
      <c r="G85" s="429">
        <f>'PARAMETROS DA CONTRATAÇÃO'!AF90</f>
        <v>7.5</v>
      </c>
      <c r="H85" s="430">
        <f t="shared" si="2"/>
        <v>150</v>
      </c>
      <c r="I85" s="430">
        <f t="shared" si="3"/>
        <v>1800</v>
      </c>
    </row>
    <row r="86" spans="1:9" ht="15.75">
      <c r="A86" s="424">
        <v>86</v>
      </c>
      <c r="B86" s="425" t="s">
        <v>210</v>
      </c>
      <c r="C86" s="426" t="s">
        <v>155</v>
      </c>
      <c r="D86" s="426">
        <v>236605</v>
      </c>
      <c r="E86" s="427">
        <f>Tabela14[[#This Row],[QTD ANUAL]]/12</f>
        <v>25</v>
      </c>
      <c r="F86" s="428">
        <v>300</v>
      </c>
      <c r="G86" s="429">
        <f>'PARAMETROS DA CONTRATAÇÃO'!AF91</f>
        <v>15.150969999999999</v>
      </c>
      <c r="H86" s="430">
        <f t="shared" si="2"/>
        <v>378.77424999999999</v>
      </c>
      <c r="I86" s="430">
        <f t="shared" si="3"/>
        <v>4545.2910000000002</v>
      </c>
    </row>
    <row r="87" spans="1:9" ht="15.75">
      <c r="A87" s="435"/>
      <c r="B87" s="436"/>
      <c r="C87" s="437"/>
      <c r="D87" s="437"/>
      <c r="E87" s="438">
        <f>SUBTOTAL(109,Tabela14[QTD MENSAL])</f>
        <v>500.41666666666663</v>
      </c>
      <c r="F87" s="437">
        <f>SUBTOTAL(109,Tabela14[QTD ANUAL])</f>
        <v>6005</v>
      </c>
      <c r="G87" s="435"/>
      <c r="H87" s="439">
        <f>SUBTOTAL(109,Tabela14[CUSTO MÉDIO MENSAL (R$)])</f>
        <v>3308.4662499999999</v>
      </c>
      <c r="I87" s="439">
        <f>SUBTOTAL(109,Tabela14[CUSTO MÉDIO ANUAL (R$)])</f>
        <v>39701.595000000001</v>
      </c>
    </row>
  </sheetData>
  <sheetProtection algorithmName="SHA-512" hashValue="OUVgJSvr3agVMyGpsJfA2pHAqq5VmA+iUkleYNilj9xCvGzd+SqbL+rUiRCnYc2uE3BuZ55FG8drtVdk1BZ1Xg==" saltValue="a44RKo/jqpiLyvhzYqDEzQ==" spinCount="100000" sheet="1" objects="1" scenarios="1"/>
  <conditionalFormatting sqref="F2:F86">
    <cfRule type="expression" dxfId="1094" priority="1">
      <formula>MOD(ROW(),2)=0</formula>
    </cfRule>
  </conditionalFormatting>
  <pageMargins left="0.511811024" right="0.511811024" top="0.78740157499999996" bottom="0.78740157499999996" header="0.31496062000000002" footer="0.31496062000000002"/>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81"/>
  <sheetViews>
    <sheetView topLeftCell="A60" zoomScaleNormal="100" workbookViewId="0">
      <selection activeCell="E74" sqref="E74"/>
    </sheetView>
  </sheetViews>
  <sheetFormatPr defaultColWidth="9.140625" defaultRowHeight="12.75"/>
  <cols>
    <col min="1" max="1" width="55.85546875" style="100" customWidth="1"/>
    <col min="2" max="2" width="18.7109375" style="100" customWidth="1"/>
    <col min="3" max="3" width="18.28515625" style="100" bestFit="1" customWidth="1"/>
    <col min="4" max="4" width="17.7109375" style="101" customWidth="1"/>
    <col min="5" max="5" width="18.28515625" style="96" bestFit="1" customWidth="1"/>
    <col min="6" max="6" width="16.5703125" style="102" bestFit="1" customWidth="1"/>
    <col min="7" max="7" width="25.28515625" style="96" customWidth="1"/>
    <col min="8" max="8" width="24.140625" style="96" customWidth="1"/>
    <col min="9" max="9" width="19" style="96" customWidth="1"/>
    <col min="10" max="10" width="22" style="96" customWidth="1"/>
    <col min="11" max="11" width="11.28515625" style="97" bestFit="1" customWidth="1"/>
    <col min="12" max="12" width="9.140625" style="97"/>
    <col min="13" max="13" width="8.140625" style="97" bestFit="1" customWidth="1"/>
    <col min="14" max="15" width="9.140625" style="97"/>
    <col min="16" max="16" width="8.140625" style="97" bestFit="1" customWidth="1"/>
    <col min="17" max="17" width="9.28515625" style="97" bestFit="1" customWidth="1"/>
    <col min="18" max="18" width="10.28515625" style="97" bestFit="1" customWidth="1"/>
    <col min="19" max="16384" width="9.140625" style="97"/>
  </cols>
  <sheetData>
    <row r="1" spans="1:10" ht="33" customHeight="1">
      <c r="A1" s="42" t="s">
        <v>83</v>
      </c>
      <c r="B1" s="42" t="s">
        <v>82</v>
      </c>
      <c r="C1" s="42" t="s">
        <v>81</v>
      </c>
      <c r="D1" s="42" t="s">
        <v>80</v>
      </c>
      <c r="E1" s="42" t="s">
        <v>79</v>
      </c>
      <c r="F1" s="42" t="s">
        <v>78</v>
      </c>
      <c r="G1" s="42" t="s">
        <v>8</v>
      </c>
    </row>
    <row r="2" spans="1:10" s="99" customFormat="1" ht="33" customHeight="1">
      <c r="A2" s="42" t="s">
        <v>236</v>
      </c>
      <c r="B2" s="93">
        <f>'PARAMETROS DA CONTRATAÇÃO'!H16</f>
        <v>1355.05</v>
      </c>
      <c r="C2" s="93">
        <f>D7</f>
        <v>0</v>
      </c>
      <c r="D2" s="93">
        <f>E17</f>
        <v>0</v>
      </c>
      <c r="E2" s="93">
        <f>E22</f>
        <v>0</v>
      </c>
      <c r="F2" s="93">
        <f>D12</f>
        <v>0</v>
      </c>
      <c r="G2" s="93">
        <f>SUM(B2:F2)</f>
        <v>1355.05</v>
      </c>
      <c r="H2" s="98"/>
      <c r="I2" s="98"/>
      <c r="J2" s="98"/>
    </row>
    <row r="3" spans="1:10" ht="33" customHeight="1">
      <c r="A3" s="42" t="s">
        <v>144</v>
      </c>
      <c r="B3" s="93">
        <f>'PARAMETROS DA CONTRATAÇÃO'!E16</f>
        <v>1113</v>
      </c>
      <c r="C3" s="93">
        <f>D8</f>
        <v>0</v>
      </c>
      <c r="D3" s="93">
        <f>E18</f>
        <v>0</v>
      </c>
      <c r="E3" s="93">
        <f>E23</f>
        <v>0</v>
      </c>
      <c r="F3" s="93">
        <f>D13</f>
        <v>0</v>
      </c>
      <c r="G3" s="93">
        <f>SUM(B3:F3)</f>
        <v>1113</v>
      </c>
    </row>
    <row r="4" spans="1:10">
      <c r="A4" s="97"/>
      <c r="B4" s="97"/>
    </row>
    <row r="5" spans="1:10" ht="33" hidden="1" customHeight="1">
      <c r="A5" s="458"/>
      <c r="B5" s="458"/>
      <c r="C5" s="458"/>
      <c r="D5" s="458"/>
      <c r="E5" s="98"/>
    </row>
    <row r="6" spans="1:10" ht="33" hidden="1" customHeight="1">
      <c r="A6" s="103"/>
      <c r="B6" s="103"/>
      <c r="C6" s="103"/>
      <c r="D6" s="103"/>
      <c r="E6" s="98"/>
    </row>
    <row r="7" spans="1:10" ht="33" hidden="1" customHeight="1">
      <c r="A7" s="104"/>
      <c r="B7" s="105"/>
      <c r="C7" s="106"/>
      <c r="D7" s="107"/>
      <c r="E7" s="98"/>
    </row>
    <row r="8" spans="1:10" ht="33" hidden="1" customHeight="1">
      <c r="A8" s="104"/>
      <c r="B8" s="105"/>
      <c r="C8" s="106"/>
      <c r="D8" s="107"/>
      <c r="E8" s="98"/>
    </row>
    <row r="9" spans="1:10" hidden="1">
      <c r="A9" s="108"/>
      <c r="B9" s="109"/>
      <c r="C9" s="98"/>
      <c r="D9" s="99"/>
      <c r="E9" s="98"/>
    </row>
    <row r="10" spans="1:10" hidden="1">
      <c r="A10" s="458"/>
      <c r="B10" s="458"/>
      <c r="C10" s="458"/>
      <c r="D10" s="458"/>
      <c r="E10" s="98"/>
    </row>
    <row r="11" spans="1:10" hidden="1">
      <c r="A11" s="103"/>
      <c r="B11" s="103"/>
      <c r="C11" s="103"/>
      <c r="D11" s="103"/>
      <c r="E11" s="98"/>
    </row>
    <row r="12" spans="1:10" hidden="1">
      <c r="A12" s="104"/>
      <c r="B12" s="105"/>
      <c r="C12" s="106"/>
      <c r="D12" s="107"/>
      <c r="E12" s="98"/>
    </row>
    <row r="13" spans="1:10" hidden="1">
      <c r="A13" s="104"/>
      <c r="B13" s="105"/>
      <c r="C13" s="106"/>
      <c r="D13" s="107"/>
      <c r="E13" s="98"/>
    </row>
    <row r="14" spans="1:10" hidden="1">
      <c r="A14" s="108"/>
      <c r="B14" s="109"/>
      <c r="C14" s="98"/>
      <c r="D14" s="99"/>
      <c r="E14" s="98"/>
    </row>
    <row r="15" spans="1:10" hidden="1">
      <c r="A15" s="458"/>
      <c r="B15" s="458"/>
      <c r="C15" s="458"/>
      <c r="D15" s="458"/>
      <c r="E15" s="458"/>
    </row>
    <row r="16" spans="1:10" hidden="1">
      <c r="A16" s="103"/>
      <c r="B16" s="103"/>
      <c r="C16" s="103"/>
      <c r="D16" s="103"/>
      <c r="E16" s="103"/>
    </row>
    <row r="17" spans="1:10" hidden="1">
      <c r="A17" s="104"/>
      <c r="B17" s="107"/>
      <c r="C17" s="110"/>
      <c r="D17" s="111"/>
      <c r="E17" s="107"/>
    </row>
    <row r="18" spans="1:10" hidden="1">
      <c r="A18" s="104"/>
      <c r="B18" s="107"/>
      <c r="C18" s="110"/>
      <c r="D18" s="111"/>
      <c r="E18" s="107"/>
    </row>
    <row r="19" spans="1:10" hidden="1">
      <c r="A19" s="104"/>
      <c r="B19" s="112"/>
      <c r="C19" s="112"/>
      <c r="D19" s="110"/>
      <c r="E19" s="111"/>
    </row>
    <row r="20" spans="1:10" hidden="1">
      <c r="A20" s="458"/>
      <c r="B20" s="458"/>
      <c r="C20" s="458"/>
      <c r="D20" s="458"/>
      <c r="E20" s="458"/>
    </row>
    <row r="21" spans="1:10" hidden="1">
      <c r="A21" s="103"/>
      <c r="B21" s="103"/>
      <c r="C21" s="103"/>
      <c r="D21" s="103"/>
      <c r="E21" s="103"/>
    </row>
    <row r="22" spans="1:10" hidden="1">
      <c r="A22" s="104"/>
      <c r="B22" s="107"/>
      <c r="C22" s="110"/>
      <c r="D22" s="113"/>
      <c r="E22" s="107"/>
    </row>
    <row r="23" spans="1:10" hidden="1">
      <c r="A23" s="104"/>
      <c r="B23" s="107"/>
      <c r="C23" s="110"/>
      <c r="D23" s="113"/>
      <c r="E23" s="107"/>
    </row>
    <row r="24" spans="1:10">
      <c r="A24" s="114"/>
      <c r="B24" s="115"/>
      <c r="D24" s="97"/>
    </row>
    <row r="25" spans="1:10" ht="33" customHeight="1">
      <c r="A25" s="42" t="s">
        <v>77</v>
      </c>
      <c r="B25" s="42" t="s">
        <v>69</v>
      </c>
      <c r="C25" s="42" t="s">
        <v>22</v>
      </c>
      <c r="D25" s="42" t="s">
        <v>75</v>
      </c>
      <c r="E25" s="42" t="s">
        <v>74</v>
      </c>
      <c r="F25" s="42" t="s">
        <v>73</v>
      </c>
      <c r="G25" s="42" t="s">
        <v>72</v>
      </c>
    </row>
    <row r="26" spans="1:10" s="117" customFormat="1" ht="33" customHeight="1">
      <c r="A26" s="42" t="str">
        <f>A2</f>
        <v>Lider de Limpeza</v>
      </c>
      <c r="B26" s="93">
        <f>E30</f>
        <v>112.92083333333332</v>
      </c>
      <c r="C26" s="93">
        <f>E31</f>
        <v>112.92083333333332</v>
      </c>
      <c r="D26" s="93">
        <f>F36</f>
        <v>37.640277777777769</v>
      </c>
      <c r="E26" s="93">
        <f>SUM(E40:E41)</f>
        <v>501.74490277777778</v>
      </c>
      <c r="F26" s="93">
        <f>SUM(J46,J47,E52,E53,E54)</f>
        <v>473.09699999999998</v>
      </c>
      <c r="G26" s="93">
        <f>SUM(B26:F26)</f>
        <v>1238.3238472222222</v>
      </c>
      <c r="H26" s="116"/>
      <c r="I26" s="116"/>
      <c r="J26" s="116"/>
    </row>
    <row r="27" spans="1:10" s="119" customFormat="1" ht="33" customHeight="1">
      <c r="A27" s="42" t="str">
        <f>A3</f>
        <v>Auxiliar de Limpeza</v>
      </c>
      <c r="B27" s="93">
        <f>E32</f>
        <v>92.75</v>
      </c>
      <c r="C27" s="93">
        <f>E33</f>
        <v>92.75</v>
      </c>
      <c r="D27" s="93">
        <f>F37</f>
        <v>30.916666666666664</v>
      </c>
      <c r="E27" s="93">
        <f>SUM(E42:E43)</f>
        <v>412.11916666666673</v>
      </c>
      <c r="F27" s="93">
        <f>J48+E55+E56+E57+J49</f>
        <v>487.62</v>
      </c>
      <c r="G27" s="93">
        <f>SUM(B27:F27)</f>
        <v>1116.1558333333332</v>
      </c>
      <c r="H27" s="118"/>
      <c r="I27" s="118"/>
      <c r="J27" s="118"/>
    </row>
    <row r="28" spans="1:10">
      <c r="A28" s="108"/>
      <c r="B28" s="120"/>
      <c r="D28" s="97"/>
    </row>
    <row r="29" spans="1:10" s="123" customFormat="1" ht="33" customHeight="1">
      <c r="A29" s="121" t="s">
        <v>454</v>
      </c>
      <c r="B29" s="44" t="s">
        <v>21</v>
      </c>
      <c r="C29" s="44" t="s">
        <v>71</v>
      </c>
      <c r="D29" s="44" t="s">
        <v>70</v>
      </c>
      <c r="E29" s="44" t="s">
        <v>10</v>
      </c>
      <c r="F29" s="122"/>
    </row>
    <row r="30" spans="1:10" s="123" customFormat="1" ht="33" customHeight="1">
      <c r="A30" s="464" t="str">
        <f>A26</f>
        <v>Lider de Limpeza</v>
      </c>
      <c r="B30" s="44" t="s">
        <v>69</v>
      </c>
      <c r="C30" s="125">
        <f>B$2</f>
        <v>1355.05</v>
      </c>
      <c r="D30" s="124">
        <f>1/12</f>
        <v>8.3333333333333329E-2</v>
      </c>
      <c r="E30" s="125">
        <f t="shared" ref="E30:E31" si="0">C30*D30</f>
        <v>112.92083333333332</v>
      </c>
      <c r="F30" s="122"/>
    </row>
    <row r="31" spans="1:10" s="123" customFormat="1" ht="33" customHeight="1">
      <c r="A31" s="464"/>
      <c r="B31" s="44" t="s">
        <v>22</v>
      </c>
      <c r="C31" s="125">
        <f>B$2</f>
        <v>1355.05</v>
      </c>
      <c r="D31" s="124">
        <f t="shared" ref="D31" si="1">1/12</f>
        <v>8.3333333333333329E-2</v>
      </c>
      <c r="E31" s="125">
        <f t="shared" si="0"/>
        <v>112.92083333333332</v>
      </c>
      <c r="F31" s="122"/>
    </row>
    <row r="32" spans="1:10" ht="33" customHeight="1">
      <c r="A32" s="470" t="s">
        <v>144</v>
      </c>
      <c r="B32" s="44" t="s">
        <v>69</v>
      </c>
      <c r="C32" s="125">
        <f>G3</f>
        <v>1113</v>
      </c>
      <c r="D32" s="124">
        <f>1/12</f>
        <v>8.3333333333333329E-2</v>
      </c>
      <c r="E32" s="125">
        <f>C32*D32</f>
        <v>92.75</v>
      </c>
    </row>
    <row r="33" spans="1:14" ht="33" customHeight="1" thickBot="1">
      <c r="A33" s="471"/>
      <c r="B33" s="126" t="s">
        <v>22</v>
      </c>
      <c r="C33" s="128">
        <f>G3</f>
        <v>1113</v>
      </c>
      <c r="D33" s="127">
        <f>1/12</f>
        <v>8.3333333333333329E-2</v>
      </c>
      <c r="E33" s="128">
        <f>C33*D33</f>
        <v>92.75</v>
      </c>
    </row>
    <row r="34" spans="1:14" ht="13.5" thickTop="1">
      <c r="A34" s="129"/>
      <c r="B34" s="120"/>
      <c r="C34" s="130"/>
      <c r="D34" s="131"/>
    </row>
    <row r="35" spans="1:14" s="132" customFormat="1" ht="33" customHeight="1">
      <c r="A35" s="42" t="s">
        <v>453</v>
      </c>
      <c r="B35" s="42" t="s">
        <v>93</v>
      </c>
      <c r="C35" s="42" t="s">
        <v>71</v>
      </c>
      <c r="D35" s="42" t="s">
        <v>70</v>
      </c>
      <c r="E35" s="42" t="s">
        <v>85</v>
      </c>
      <c r="F35" s="42" t="s">
        <v>10</v>
      </c>
    </row>
    <row r="36" spans="1:14" s="132" customFormat="1" ht="33" customHeight="1">
      <c r="A36" s="42" t="str">
        <f>A30</f>
        <v>Lider de Limpeza</v>
      </c>
      <c r="B36" s="42" t="s">
        <v>84</v>
      </c>
      <c r="C36" s="93">
        <f>B2</f>
        <v>1355.05</v>
      </c>
      <c r="D36" s="43">
        <f>1/12</f>
        <v>8.3333333333333329E-2</v>
      </c>
      <c r="E36" s="43">
        <f>1/3</f>
        <v>0.33333333333333331</v>
      </c>
      <c r="F36" s="93">
        <f>C36*D36*E36</f>
        <v>37.640277777777769</v>
      </c>
    </row>
    <row r="37" spans="1:14" ht="33" customHeight="1">
      <c r="A37" s="42" t="str">
        <f>A32</f>
        <v>Auxiliar de Limpeza</v>
      </c>
      <c r="B37" s="42" t="s">
        <v>84</v>
      </c>
      <c r="C37" s="93">
        <f>G3</f>
        <v>1113</v>
      </c>
      <c r="D37" s="43">
        <f>1/12</f>
        <v>8.3333333333333329E-2</v>
      </c>
      <c r="E37" s="43">
        <f>1/3</f>
        <v>0.33333333333333331</v>
      </c>
      <c r="F37" s="93">
        <f>C37*D37*E37</f>
        <v>30.916666666666664</v>
      </c>
    </row>
    <row r="38" spans="1:14">
      <c r="A38" s="108"/>
      <c r="B38" s="120"/>
      <c r="D38" s="97"/>
    </row>
    <row r="39" spans="1:14" ht="33" customHeight="1">
      <c r="A39" s="382" t="s">
        <v>455</v>
      </c>
      <c r="B39" s="196" t="s">
        <v>93</v>
      </c>
      <c r="C39" s="196" t="s">
        <v>71</v>
      </c>
      <c r="D39" s="196" t="s">
        <v>70</v>
      </c>
      <c r="E39" s="196" t="s">
        <v>10</v>
      </c>
    </row>
    <row r="40" spans="1:14" ht="33" customHeight="1">
      <c r="A40" s="465" t="str">
        <f>A36</f>
        <v>Lider de Limpeza</v>
      </c>
      <c r="B40" s="77" t="s">
        <v>91</v>
      </c>
      <c r="C40" s="133">
        <f>SUM(B26:D26)+SUM(G2)</f>
        <v>1618.5319444444444</v>
      </c>
      <c r="D40" s="134">
        <f>SUM('PARAMETROS DA CONTRATAÇÃO'!$N$8:$N$14)</f>
        <v>0.23</v>
      </c>
      <c r="E40" s="133">
        <f>C40*D40</f>
        <v>372.26234722222222</v>
      </c>
    </row>
    <row r="41" spans="1:14" ht="33" customHeight="1">
      <c r="A41" s="466"/>
      <c r="B41" s="77" t="s">
        <v>6</v>
      </c>
      <c r="C41" s="133">
        <f>G2+E30+E31+F36</f>
        <v>1618.5319444444444</v>
      </c>
      <c r="D41" s="134">
        <f>'PARAMETROS DA CONTRATAÇÃO'!$N$15</f>
        <v>0.08</v>
      </c>
      <c r="E41" s="133">
        <f>C41*D41</f>
        <v>129.48255555555556</v>
      </c>
    </row>
    <row r="42" spans="1:14" ht="33" customHeight="1">
      <c r="A42" s="472" t="str">
        <f>A37</f>
        <v>Auxiliar de Limpeza</v>
      </c>
      <c r="B42" s="77" t="s">
        <v>91</v>
      </c>
      <c r="C42" s="133">
        <f>SUM(B27:D27)+SUM(G3)</f>
        <v>1329.4166666666667</v>
      </c>
      <c r="D42" s="134">
        <f>SUM('PARAMETROS DA CONTRATAÇÃO'!$K$8:$K$14)</f>
        <v>0.23</v>
      </c>
      <c r="E42" s="133">
        <f>C42*D42</f>
        <v>305.76583333333338</v>
      </c>
    </row>
    <row r="43" spans="1:14" ht="33" customHeight="1" thickBot="1">
      <c r="A43" s="473"/>
      <c r="B43" s="77" t="s">
        <v>6</v>
      </c>
      <c r="C43" s="133">
        <f>G3+E32+E33+F37</f>
        <v>1329.4166666666667</v>
      </c>
      <c r="D43" s="134">
        <f>'PARAMETROS DA CONTRATAÇÃO'!$K$15</f>
        <v>0.08</v>
      </c>
      <c r="E43" s="133">
        <f>C43*D43</f>
        <v>106.35333333333334</v>
      </c>
    </row>
    <row r="44" spans="1:14" ht="37.5" customHeight="1" thickTop="1">
      <c r="A44" s="135"/>
      <c r="B44" s="108"/>
      <c r="C44" s="136"/>
      <c r="D44" s="97"/>
    </row>
    <row r="45" spans="1:14" ht="53.25" customHeight="1" thickBot="1">
      <c r="A45" s="145"/>
      <c r="B45" s="126" t="s">
        <v>93</v>
      </c>
      <c r="C45" s="126" t="s">
        <v>23</v>
      </c>
      <c r="D45" s="126" t="s">
        <v>24</v>
      </c>
      <c r="E45" s="126" t="s">
        <v>25</v>
      </c>
      <c r="F45" s="126" t="s">
        <v>26</v>
      </c>
      <c r="G45" s="126" t="s">
        <v>95</v>
      </c>
      <c r="H45" s="126" t="s">
        <v>28</v>
      </c>
      <c r="I45" s="126" t="s">
        <v>29</v>
      </c>
      <c r="J45" s="126" t="s">
        <v>30</v>
      </c>
      <c r="K45" s="34"/>
      <c r="L45" s="34"/>
      <c r="M45" s="34"/>
      <c r="N45" s="34"/>
    </row>
    <row r="46" spans="1:14" ht="33" customHeight="1" thickTop="1">
      <c r="A46" s="476" t="str">
        <f>A40</f>
        <v>Lider de Limpeza</v>
      </c>
      <c r="B46" s="42" t="s">
        <v>66</v>
      </c>
      <c r="C46" s="42">
        <f>'PARAMETROS DA CONTRATAÇÃO'!$H$14</f>
        <v>22</v>
      </c>
      <c r="D46" s="42">
        <f>'PARAMETROS DA CONTRATAÇÃO'!$H$22</f>
        <v>3.8</v>
      </c>
      <c r="E46" s="137">
        <f>'PARAMETROS DA CONTRATAÇÃO'!$H$25</f>
        <v>2</v>
      </c>
      <c r="F46" s="93">
        <f>C46*D46*E46</f>
        <v>167.2</v>
      </c>
      <c r="G46" s="93">
        <f>B2</f>
        <v>1355.05</v>
      </c>
      <c r="H46" s="43">
        <f>'PARAMETROS DA CONTRATAÇÃO'!H26</f>
        <v>0.06</v>
      </c>
      <c r="I46" s="93">
        <f>G46*H46</f>
        <v>81.302999999999997</v>
      </c>
      <c r="J46" s="93">
        <f>F46-I46</f>
        <v>85.896999999999991</v>
      </c>
      <c r="K46" s="34"/>
      <c r="L46" s="34"/>
      <c r="M46" s="34"/>
      <c r="N46" s="34"/>
    </row>
    <row r="47" spans="1:14" ht="33" customHeight="1">
      <c r="A47" s="474"/>
      <c r="B47" s="42" t="s">
        <v>94</v>
      </c>
      <c r="C47" s="42">
        <f>'PARAMETROS DA CONTRATAÇÃO'!$H$14</f>
        <v>22</v>
      </c>
      <c r="D47" s="42">
        <f>'PARAMETROS DA CONTRATAÇÃO'!$H$23</f>
        <v>14</v>
      </c>
      <c r="E47" s="42">
        <f>'PARAMETROS DA CONTRATAÇÃO'!$H$27</f>
        <v>1</v>
      </c>
      <c r="F47" s="93">
        <f t="shared" ref="F47" si="2">C47*D47*E47</f>
        <v>308</v>
      </c>
      <c r="G47" s="93">
        <f>F47</f>
        <v>308</v>
      </c>
      <c r="H47" s="43">
        <f>'PARAMETROS DA CONTRATAÇÃO'!H28</f>
        <v>0.1</v>
      </c>
      <c r="I47" s="93">
        <f>G47*H47</f>
        <v>30.8</v>
      </c>
      <c r="J47" s="93">
        <f t="shared" ref="J47" si="3">F47-I47</f>
        <v>277.2</v>
      </c>
      <c r="K47" s="34"/>
      <c r="L47" s="34"/>
      <c r="M47" s="34"/>
      <c r="N47" s="34"/>
    </row>
    <row r="48" spans="1:14" ht="33" customHeight="1">
      <c r="A48" s="472" t="str">
        <f>A42</f>
        <v>Auxiliar de Limpeza</v>
      </c>
      <c r="B48" s="42" t="s">
        <v>66</v>
      </c>
      <c r="C48" s="137">
        <f>'PARAMETROS DA CONTRATAÇÃO'!$E$14</f>
        <v>22</v>
      </c>
      <c r="D48" s="42">
        <f>'PARAMETROS DA CONTRATAÇÃO'!$E$22</f>
        <v>3.8</v>
      </c>
      <c r="E48" s="137">
        <f>'PARAMETROS DA CONTRATAÇÃO'!$E$25</f>
        <v>2</v>
      </c>
      <c r="F48" s="93">
        <f>C48*D48*E48</f>
        <v>167.2</v>
      </c>
      <c r="G48" s="93">
        <f>B3</f>
        <v>1113</v>
      </c>
      <c r="H48" s="43">
        <f>'PARAMETROS DA CONTRATAÇÃO'!E26</f>
        <v>0.06</v>
      </c>
      <c r="I48" s="93">
        <f>G48*H48</f>
        <v>66.78</v>
      </c>
      <c r="J48" s="93">
        <f>F48-I48</f>
        <v>100.41999999999999</v>
      </c>
      <c r="K48" s="34"/>
      <c r="L48" s="34"/>
      <c r="M48" s="34"/>
      <c r="N48" s="34"/>
    </row>
    <row r="49" spans="1:14" ht="33" customHeight="1">
      <c r="A49" s="474"/>
      <c r="B49" s="42" t="s">
        <v>94</v>
      </c>
      <c r="C49" s="137">
        <f>'PARAMETROS DA CONTRATAÇÃO'!$E$14</f>
        <v>22</v>
      </c>
      <c r="D49" s="42">
        <f>'PARAMETROS DA CONTRATAÇÃO'!$E$23</f>
        <v>14</v>
      </c>
      <c r="E49" s="137">
        <f>'PARAMETROS DA CONTRATAÇÃO'!$E$27</f>
        <v>1</v>
      </c>
      <c r="F49" s="93">
        <f>C49*D49*E49</f>
        <v>308</v>
      </c>
      <c r="G49" s="93">
        <f>F49</f>
        <v>308</v>
      </c>
      <c r="H49" s="43">
        <f>'PARAMETROS DA CONTRATAÇÃO'!E28</f>
        <v>0.1</v>
      </c>
      <c r="I49" s="93">
        <f>G49*H49</f>
        <v>30.8</v>
      </c>
      <c r="J49" s="93">
        <f>F49-I49</f>
        <v>277.2</v>
      </c>
      <c r="K49" s="34"/>
      <c r="L49" s="34"/>
      <c r="M49" s="34"/>
      <c r="N49" s="34"/>
    </row>
    <row r="50" spans="1:14">
      <c r="A50" s="135"/>
      <c r="B50" s="108"/>
      <c r="C50" s="136"/>
      <c r="D50" s="97"/>
      <c r="J50" s="34"/>
      <c r="K50" s="34"/>
      <c r="L50" s="34"/>
      <c r="M50" s="34"/>
      <c r="N50" s="34"/>
    </row>
    <row r="51" spans="1:14" ht="33" customHeight="1" thickBot="1">
      <c r="A51" s="126" t="s">
        <v>76</v>
      </c>
      <c r="B51" s="126" t="s">
        <v>93</v>
      </c>
      <c r="C51" s="126" t="s">
        <v>27</v>
      </c>
      <c r="D51" s="126" t="s">
        <v>254</v>
      </c>
      <c r="E51" s="126" t="s">
        <v>31</v>
      </c>
      <c r="F51" s="97"/>
      <c r="J51" s="34"/>
      <c r="K51" s="34"/>
      <c r="L51" s="34"/>
      <c r="M51" s="34"/>
      <c r="N51" s="34"/>
    </row>
    <row r="52" spans="1:14" ht="33" customHeight="1" thickTop="1">
      <c r="A52" s="467" t="str">
        <f>A46</f>
        <v>Lider de Limpeza</v>
      </c>
      <c r="B52" s="138" t="s">
        <v>96</v>
      </c>
      <c r="C52" s="138">
        <f>'PARAMETROS DA CONTRATAÇÃO'!H24</f>
        <v>85</v>
      </c>
      <c r="D52" s="138">
        <v>0</v>
      </c>
      <c r="E52" s="138">
        <f>C52+D52</f>
        <v>85</v>
      </c>
      <c r="F52" s="97"/>
      <c r="J52" s="34"/>
      <c r="K52" s="34"/>
      <c r="L52" s="34"/>
      <c r="M52" s="34"/>
      <c r="N52" s="34"/>
    </row>
    <row r="53" spans="1:14" ht="33" customHeight="1">
      <c r="A53" s="468"/>
      <c r="B53" s="44" t="s">
        <v>32</v>
      </c>
      <c r="C53" s="44">
        <f>'PARAMETROS DA CONTRATAÇÃO'!H29</f>
        <v>10</v>
      </c>
      <c r="D53" s="44">
        <v>0</v>
      </c>
      <c r="E53" s="44">
        <f>C53+D53</f>
        <v>10</v>
      </c>
      <c r="F53" s="97"/>
      <c r="J53" s="34"/>
      <c r="K53" s="34"/>
      <c r="L53" s="34"/>
      <c r="M53" s="34"/>
      <c r="N53" s="34"/>
    </row>
    <row r="54" spans="1:14" ht="33" customHeight="1">
      <c r="A54" s="469"/>
      <c r="B54" s="44" t="str">
        <f>'PARAMETROS DA CONTRATAÇÃO'!G30</f>
        <v>Plano Odontologico</v>
      </c>
      <c r="C54" s="44">
        <f>'PARAMETROS DA CONTRATAÇÃO'!H30</f>
        <v>15</v>
      </c>
      <c r="D54" s="44">
        <v>0</v>
      </c>
      <c r="E54" s="44">
        <f>C54+D54</f>
        <v>15</v>
      </c>
      <c r="F54" s="97"/>
      <c r="J54" s="34"/>
      <c r="K54" s="34"/>
      <c r="L54" s="34"/>
      <c r="M54" s="34"/>
      <c r="N54" s="34"/>
    </row>
    <row r="55" spans="1:14" ht="33" customHeight="1">
      <c r="A55" s="475" t="str">
        <f>A48</f>
        <v>Auxiliar de Limpeza</v>
      </c>
      <c r="B55" s="44" t="s">
        <v>96</v>
      </c>
      <c r="C55" s="44">
        <f>'PARAMETROS DA CONTRATAÇÃO'!E24</f>
        <v>85</v>
      </c>
      <c r="D55" s="44">
        <v>0</v>
      </c>
      <c r="E55" s="44">
        <f>C55+D55</f>
        <v>85</v>
      </c>
      <c r="F55" s="97"/>
    </row>
    <row r="56" spans="1:14" ht="33" customHeight="1">
      <c r="A56" s="468"/>
      <c r="B56" s="44" t="s">
        <v>32</v>
      </c>
      <c r="C56" s="44">
        <f>'PARAMETROS DA CONTRATAÇÃO'!E29</f>
        <v>10</v>
      </c>
      <c r="D56" s="44">
        <v>0</v>
      </c>
      <c r="E56" s="44">
        <f>'PARAMETROS DA CONTRATAÇÃO'!$E$29</f>
        <v>10</v>
      </c>
      <c r="F56" s="97"/>
    </row>
    <row r="57" spans="1:14" ht="33" customHeight="1">
      <c r="A57" s="469"/>
      <c r="B57" s="44" t="str">
        <f>'PARAMETROS DA CONTRATAÇÃO'!D30</f>
        <v>Plano Odontologico</v>
      </c>
      <c r="C57" s="44">
        <f>'PARAMETROS DA CONTRATAÇÃO'!E30</f>
        <v>15</v>
      </c>
      <c r="D57" s="44">
        <v>0</v>
      </c>
      <c r="E57" s="44">
        <f>'PARAMETROS DA CONTRATAÇÃO'!$E$30</f>
        <v>15</v>
      </c>
      <c r="F57" s="97"/>
    </row>
    <row r="58" spans="1:14">
      <c r="A58" s="139"/>
      <c r="B58" s="114"/>
      <c r="C58" s="140"/>
      <c r="D58" s="136"/>
      <c r="E58" s="97"/>
      <c r="F58" s="141"/>
    </row>
    <row r="59" spans="1:14" ht="33" customHeight="1" thickBot="1">
      <c r="A59" s="459" t="s">
        <v>169</v>
      </c>
      <c r="B59" s="460"/>
      <c r="C59" s="460"/>
      <c r="D59" s="460"/>
      <c r="E59" s="461"/>
      <c r="F59" s="97"/>
    </row>
    <row r="60" spans="1:14" ht="33" customHeight="1" thickTop="1">
      <c r="A60" s="42" t="s">
        <v>76</v>
      </c>
      <c r="B60" s="42" t="s">
        <v>12</v>
      </c>
      <c r="C60" s="42" t="s">
        <v>103</v>
      </c>
      <c r="D60" s="42" t="s">
        <v>14</v>
      </c>
      <c r="E60" s="42" t="s">
        <v>116</v>
      </c>
      <c r="F60" s="97"/>
    </row>
    <row r="61" spans="1:14" s="99" customFormat="1" ht="33" customHeight="1">
      <c r="A61" s="42" t="str">
        <f>A52</f>
        <v>Lider de Limpeza</v>
      </c>
      <c r="B61" s="93">
        <f t="shared" ref="B61" si="4">D75</f>
        <v>138.18342026694532</v>
      </c>
      <c r="C61" s="93">
        <f>D76</f>
        <v>145.09259128029257</v>
      </c>
      <c r="D61" s="93">
        <f>D77</f>
        <v>92.940596393064581</v>
      </c>
      <c r="E61" s="93">
        <f>SUM(B61:D61)</f>
        <v>376.21660794030248</v>
      </c>
      <c r="G61" s="98"/>
      <c r="H61" s="98"/>
      <c r="I61" s="98"/>
      <c r="J61" s="98"/>
    </row>
    <row r="62" spans="1:14" ht="33" customHeight="1">
      <c r="A62" s="42" t="s">
        <v>168</v>
      </c>
      <c r="B62" s="93">
        <f>D66</f>
        <v>119.27212620277437</v>
      </c>
      <c r="C62" s="93">
        <f>D67</f>
        <v>125.2357325129131</v>
      </c>
      <c r="D62" s="93">
        <f>D68</f>
        <v>80.221075154603042</v>
      </c>
      <c r="E62" s="93">
        <f>SUM(B62:D62)</f>
        <v>324.72893387029052</v>
      </c>
      <c r="F62" s="97"/>
    </row>
    <row r="63" spans="1:14" s="142" customFormat="1" ht="16.5" customHeight="1"/>
    <row r="64" spans="1:14" ht="33" customHeight="1" thickBot="1">
      <c r="A64" s="462" t="s">
        <v>161</v>
      </c>
      <c r="B64" s="462"/>
      <c r="C64" s="462"/>
      <c r="D64" s="462"/>
      <c r="E64" s="97"/>
      <c r="F64" s="97"/>
      <c r="G64" s="97"/>
      <c r="H64" s="97"/>
      <c r="I64" s="143"/>
      <c r="J64" s="97"/>
    </row>
    <row r="65" spans="1:10" ht="33" customHeight="1" thickTop="1">
      <c r="A65" s="42" t="s">
        <v>93</v>
      </c>
      <c r="B65" s="42" t="s">
        <v>100</v>
      </c>
      <c r="C65" s="42" t="s">
        <v>102</v>
      </c>
      <c r="D65" s="42" t="s">
        <v>101</v>
      </c>
      <c r="E65" s="97"/>
      <c r="F65" s="97"/>
      <c r="G65" s="97"/>
      <c r="H65" s="97"/>
      <c r="J65" s="97"/>
    </row>
    <row r="66" spans="1:10" ht="33" customHeight="1">
      <c r="A66" s="42" t="s">
        <v>12</v>
      </c>
      <c r="B66" s="79">
        <f>G3+G27+Tabela33[[#Totals],[Valor]]+Tabela2628[[#Totals],[Custo Mensal]]+'MÓDULO 05'!F88</f>
        <v>2385.4425240554874</v>
      </c>
      <c r="C66" s="78">
        <f>'PARAMETROS DA CONTRATAÇÃO'!K17</f>
        <v>0.05</v>
      </c>
      <c r="D66" s="79">
        <f t="shared" ref="D66:D71" si="5">B66*C66</f>
        <v>119.27212620277437</v>
      </c>
      <c r="E66" s="97"/>
      <c r="F66" s="97"/>
      <c r="G66" s="97"/>
      <c r="H66" s="97"/>
      <c r="I66" s="97"/>
      <c r="J66" s="97"/>
    </row>
    <row r="67" spans="1:10" ht="33" customHeight="1">
      <c r="A67" s="42" t="s">
        <v>13</v>
      </c>
      <c r="B67" s="79">
        <f>B66+D66</f>
        <v>2504.7146502582618</v>
      </c>
      <c r="C67" s="78">
        <f>'PARAMETROS DA CONTRATAÇÃO'!K18</f>
        <v>0.05</v>
      </c>
      <c r="D67" s="79">
        <f t="shared" si="5"/>
        <v>125.2357325129131</v>
      </c>
      <c r="E67" s="97"/>
      <c r="F67" s="97"/>
      <c r="G67" s="97"/>
      <c r="H67" s="97"/>
      <c r="I67" s="97"/>
      <c r="J67" s="97"/>
    </row>
    <row r="68" spans="1:10" ht="33" customHeight="1">
      <c r="A68" s="42" t="s">
        <v>113</v>
      </c>
      <c r="B68" s="79">
        <f>(B67+D67)/(1-C68)</f>
        <v>2710.1714579257782</v>
      </c>
      <c r="C68" s="78">
        <f>'PARAMETROS DA CONTRATAÇÃO'!K19</f>
        <v>2.9600000000000001E-2</v>
      </c>
      <c r="D68" s="79">
        <f t="shared" si="5"/>
        <v>80.221075154603042</v>
      </c>
      <c r="E68" s="97"/>
      <c r="F68" s="97"/>
      <c r="G68" s="97"/>
      <c r="H68" s="97"/>
      <c r="I68" s="97"/>
      <c r="J68" s="97"/>
    </row>
    <row r="69" spans="1:10" ht="33" customHeight="1">
      <c r="A69" s="42" t="s">
        <v>114</v>
      </c>
      <c r="B69" s="79">
        <f>(B$67+D$67)/(1-SUM(C$69:C$71))</f>
        <v>2710.1714579257782</v>
      </c>
      <c r="C69" s="78">
        <f>'PARAMETROS DA CONTRATAÇÃO'!K20</f>
        <v>1.6999999999999999E-3</v>
      </c>
      <c r="D69" s="79">
        <f t="shared" si="5"/>
        <v>4.6072914784738224</v>
      </c>
      <c r="E69" s="97"/>
      <c r="F69" s="97"/>
      <c r="G69" s="97"/>
      <c r="H69" s="97"/>
      <c r="I69" s="97"/>
      <c r="J69" s="97"/>
    </row>
    <row r="70" spans="1:10" ht="33" customHeight="1">
      <c r="A70" s="42" t="s">
        <v>115</v>
      </c>
      <c r="B70" s="79">
        <f>(B$67+D$67)/(1-SUM(C$69:C$71))</f>
        <v>2710.1714579257782</v>
      </c>
      <c r="C70" s="78">
        <f>'PARAMETROS DA CONTRATAÇÃO'!K21</f>
        <v>7.9000000000000008E-3</v>
      </c>
      <c r="D70" s="79">
        <f t="shared" si="5"/>
        <v>21.410354517613651</v>
      </c>
      <c r="E70" s="97"/>
      <c r="F70" s="97"/>
      <c r="G70" s="97"/>
      <c r="H70" s="97"/>
      <c r="I70" s="97"/>
      <c r="J70" s="97"/>
    </row>
    <row r="71" spans="1:10" ht="33" customHeight="1">
      <c r="A71" s="42" t="s">
        <v>17</v>
      </c>
      <c r="B71" s="79">
        <f>(B$67+D$67)/(1-SUM(C$69:C$71))</f>
        <v>2710.1714579257782</v>
      </c>
      <c r="C71" s="78">
        <f>'PARAMETROS DA CONTRATAÇÃO'!K22</f>
        <v>0.02</v>
      </c>
      <c r="D71" s="79">
        <f t="shared" si="5"/>
        <v>54.203429158515569</v>
      </c>
      <c r="E71" s="97"/>
      <c r="F71" s="97"/>
      <c r="G71" s="97"/>
      <c r="H71" s="97"/>
      <c r="I71" s="97"/>
      <c r="J71" s="97"/>
    </row>
    <row r="73" spans="1:10" ht="33" customHeight="1" thickBot="1">
      <c r="A73" s="463" t="s">
        <v>237</v>
      </c>
      <c r="B73" s="463"/>
      <c r="C73" s="463"/>
      <c r="D73" s="463"/>
    </row>
    <row r="74" spans="1:10" ht="33" customHeight="1" thickTop="1">
      <c r="A74" s="42" t="s">
        <v>93</v>
      </c>
      <c r="B74" s="42" t="s">
        <v>100</v>
      </c>
      <c r="C74" s="42" t="s">
        <v>102</v>
      </c>
      <c r="D74" s="42" t="s">
        <v>101</v>
      </c>
    </row>
    <row r="75" spans="1:10" ht="33" customHeight="1">
      <c r="A75" s="42" t="s">
        <v>12</v>
      </c>
      <c r="B75" s="92">
        <f>G2+G26+Tabela3339[[#Totals],[Valor]]+Tabela26[[#Totals],[Custo Mensal]]+'MÓDULO 05'!F87</f>
        <v>2763.6684053389063</v>
      </c>
      <c r="C75" s="43">
        <f>'PARAMETROS DA CONTRATAÇÃO'!N17</f>
        <v>0.05</v>
      </c>
      <c r="D75" s="144">
        <f>B75*C75</f>
        <v>138.18342026694532</v>
      </c>
    </row>
    <row r="76" spans="1:10" ht="33" customHeight="1">
      <c r="A76" s="42" t="s">
        <v>13</v>
      </c>
      <c r="B76" s="92">
        <f>B75+D75</f>
        <v>2901.8518256058514</v>
      </c>
      <c r="C76" s="43">
        <f>'PARAMETROS DA CONTRATAÇÃO'!N18</f>
        <v>0.05</v>
      </c>
      <c r="D76" s="144">
        <f>B76*C76</f>
        <v>145.09259128029257</v>
      </c>
    </row>
    <row r="77" spans="1:10" ht="33" customHeight="1">
      <c r="A77" s="42" t="s">
        <v>113</v>
      </c>
      <c r="B77" s="92">
        <f>($B$76+$D$76)/(1-$C$77)</f>
        <v>3139.8850132792086</v>
      </c>
      <c r="C77" s="43">
        <f>'PARAMETROS DA CONTRATAÇÃO'!N19</f>
        <v>2.9600000000000001E-2</v>
      </c>
      <c r="D77" s="144">
        <f>B77*C77</f>
        <v>92.940596393064581</v>
      </c>
    </row>
    <row r="78" spans="1:10" ht="33" customHeight="1">
      <c r="A78" s="42" t="s">
        <v>114</v>
      </c>
      <c r="B78" s="92">
        <f t="shared" ref="B78:B80" si="6">($B$76+$D$76)/(1-$C$77)</f>
        <v>3139.8850132792086</v>
      </c>
      <c r="C78" s="43">
        <f>'PARAMETROS DA CONTRATAÇÃO'!N20</f>
        <v>1.6999999999999999E-3</v>
      </c>
      <c r="D78" s="144">
        <f t="shared" ref="D78:D80" si="7">B78*C78</f>
        <v>5.337804522574654</v>
      </c>
    </row>
    <row r="79" spans="1:10" ht="33" customHeight="1">
      <c r="A79" s="42" t="s">
        <v>115</v>
      </c>
      <c r="B79" s="92">
        <f t="shared" si="6"/>
        <v>3139.8850132792086</v>
      </c>
      <c r="C79" s="43">
        <f>'PARAMETROS DA CONTRATAÇÃO'!N21</f>
        <v>7.9000000000000008E-3</v>
      </c>
      <c r="D79" s="144">
        <f t="shared" si="7"/>
        <v>24.805091604905751</v>
      </c>
    </row>
    <row r="80" spans="1:10" ht="33" customHeight="1">
      <c r="A80" s="42" t="s">
        <v>17</v>
      </c>
      <c r="B80" s="92">
        <f t="shared" si="6"/>
        <v>3139.8850132792086</v>
      </c>
      <c r="C80" s="43">
        <f>'PARAMETROS DA CONTRATAÇÃO'!N22</f>
        <v>0.02</v>
      </c>
      <c r="D80" s="144">
        <f t="shared" si="7"/>
        <v>62.797700265584176</v>
      </c>
    </row>
    <row r="81" spans="2:4" ht="33" customHeight="1">
      <c r="B81" s="102"/>
      <c r="C81" s="97"/>
      <c r="D81" s="97"/>
    </row>
  </sheetData>
  <sheetProtection algorithmName="SHA-512" hashValue="UyemJzb3+VSR+dDMng+NL5glmIKgtzYwOCht452Jy51/Gd5iHyfR2JY7/ehgBxYdtZO8zxKcn2YJbUdYjMQoAw==" saltValue="wMROexX7ZiZ6C6IqsV1Shw==" spinCount="100000" sheet="1" objects="1" scenarios="1"/>
  <mergeCells count="15">
    <mergeCell ref="A10:D10"/>
    <mergeCell ref="A5:D5"/>
    <mergeCell ref="A59:E59"/>
    <mergeCell ref="A64:D64"/>
    <mergeCell ref="A73:D73"/>
    <mergeCell ref="A20:E20"/>
    <mergeCell ref="A15:E15"/>
    <mergeCell ref="A30:A31"/>
    <mergeCell ref="A40:A41"/>
    <mergeCell ref="A52:A54"/>
    <mergeCell ref="A32:A33"/>
    <mergeCell ref="A42:A43"/>
    <mergeCell ref="A48:A49"/>
    <mergeCell ref="A55:A57"/>
    <mergeCell ref="A46:A47"/>
  </mergeCells>
  <pageMargins left="0.511811024" right="0.511811024" top="0.78740157499999996" bottom="0.78740157499999996" header="0.31496062000000002" footer="0.31496062000000002"/>
  <pageSetup paperSize="9" scale="58" orientation="landscape" r:id="rId1"/>
  <legacyDrawing r:id="rId2"/>
  <tableParts count="10">
    <tablePart r:id="rId3"/>
    <tablePart r:id="rId4"/>
    <tablePart r:id="rId5"/>
    <tablePart r:id="rId6"/>
    <tablePart r:id="rId7"/>
    <tablePart r:id="rId8"/>
    <tablePart r:id="rId9"/>
    <tablePart r:id="rId10"/>
    <tablePart r:id="rId11"/>
    <tablePart r:id="rId12"/>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M34"/>
  <sheetViews>
    <sheetView topLeftCell="A19" workbookViewId="0">
      <selection activeCell="G29" sqref="G29"/>
    </sheetView>
  </sheetViews>
  <sheetFormatPr defaultColWidth="9.140625" defaultRowHeight="33" customHeight="1"/>
  <cols>
    <col min="1" max="1" width="32.5703125" style="85" customWidth="1"/>
    <col min="2" max="2" width="16.42578125" style="85" customWidth="1"/>
    <col min="3" max="3" width="11.7109375" style="85" customWidth="1"/>
    <col min="4" max="4" width="12.28515625" style="85" bestFit="1" customWidth="1"/>
    <col min="5" max="5" width="42.85546875" style="85" bestFit="1" customWidth="1"/>
    <col min="6" max="6" width="16" style="85" bestFit="1" customWidth="1"/>
    <col min="7" max="7" width="19.28515625" style="85" bestFit="1" customWidth="1"/>
    <col min="8" max="9" width="14.85546875" style="85" customWidth="1"/>
    <col min="10" max="10" width="12" style="85" bestFit="1" customWidth="1"/>
    <col min="11" max="11" width="16" style="85" bestFit="1" customWidth="1"/>
    <col min="12" max="12" width="18.5703125" style="85" customWidth="1"/>
    <col min="13" max="13" width="15.140625" style="85" customWidth="1"/>
    <col min="14" max="14" width="20" style="85" customWidth="1"/>
    <col min="15" max="15" width="14.28515625" style="85" customWidth="1"/>
    <col min="16" max="39" width="9.140625" style="85"/>
    <col min="40" max="16384" width="9.140625" style="34"/>
  </cols>
  <sheetData>
    <row r="1" spans="1:11" ht="33" customHeight="1">
      <c r="A1" s="478" t="s">
        <v>365</v>
      </c>
      <c r="B1" s="478"/>
      <c r="C1" s="478"/>
      <c r="D1" s="478"/>
      <c r="E1" s="478"/>
      <c r="F1" s="478"/>
      <c r="G1" s="478"/>
      <c r="H1" s="478"/>
      <c r="I1" s="478"/>
      <c r="J1" s="478"/>
      <c r="K1" s="478"/>
    </row>
    <row r="2" spans="1:11" ht="12.75"/>
    <row r="3" spans="1:11" ht="12.75"/>
    <row r="4" spans="1:11" ht="33" customHeight="1" thickBot="1">
      <c r="A4" s="86" t="s">
        <v>425</v>
      </c>
      <c r="B4" s="86" t="s">
        <v>174</v>
      </c>
      <c r="D4" s="477" t="s">
        <v>161</v>
      </c>
      <c r="E4" s="477"/>
      <c r="F4" s="477"/>
      <c r="G4" s="477"/>
      <c r="H4" s="477"/>
      <c r="I4" s="477"/>
      <c r="J4" s="477"/>
      <c r="K4" s="477"/>
    </row>
    <row r="5" spans="1:11" ht="33" customHeight="1" thickTop="1">
      <c r="A5" s="86" t="s">
        <v>42</v>
      </c>
      <c r="B5" s="86">
        <v>0.4</v>
      </c>
      <c r="D5" s="42" t="s">
        <v>93</v>
      </c>
      <c r="E5" s="42" t="s">
        <v>185</v>
      </c>
      <c r="F5" s="42" t="s">
        <v>366</v>
      </c>
      <c r="G5" s="42" t="s">
        <v>367</v>
      </c>
      <c r="H5" s="42" t="s">
        <v>368</v>
      </c>
      <c r="I5" s="42" t="s">
        <v>369</v>
      </c>
      <c r="J5" s="42" t="s">
        <v>370</v>
      </c>
      <c r="K5" s="42" t="s">
        <v>10</v>
      </c>
    </row>
    <row r="6" spans="1:11" ht="33" customHeight="1">
      <c r="A6" s="87" t="s">
        <v>43</v>
      </c>
      <c r="B6" s="86">
        <v>0.4</v>
      </c>
      <c r="D6" s="35" t="s">
        <v>0</v>
      </c>
      <c r="E6" s="37" t="s">
        <v>42</v>
      </c>
      <c r="F6" s="38">
        <f>'DEMAIS MÓDULOS'!$G$3+SUM('DEMAIS MÓDULOS'!$B$27:$D$27)</f>
        <v>1329.4166666666667</v>
      </c>
      <c r="G6" s="88">
        <f>1/12</f>
        <v>8.3333333333333329E-2</v>
      </c>
      <c r="H6" s="89">
        <f>'PARAMETROS DA CONTRATAÇÃO'!Q7</f>
        <v>0.56240000000000001</v>
      </c>
      <c r="I6" s="89">
        <f>'PADRAO E REFERENCIA'!G11</f>
        <v>5.5500000000000001E-2</v>
      </c>
      <c r="J6" s="40">
        <f>Tabela33[[#This Row],[% incidencia]]*Tabela33[[#This Row],[Percentual de Desligamento]]*Tabela33[[#This Row],[Proporção mensal]]</f>
        <v>2.6010999999999999E-3</v>
      </c>
      <c r="K6" s="38">
        <f>Tabela33[[#This Row],[% do Item]]*Tabela33[[#This Row],[Base Cálculo]]</f>
        <v>3.4579456916666667</v>
      </c>
    </row>
    <row r="7" spans="1:11" ht="25.5">
      <c r="D7" s="35" t="s">
        <v>2</v>
      </c>
      <c r="E7" s="37" t="s">
        <v>371</v>
      </c>
      <c r="F7" s="38">
        <f>'DEMAIS MÓDULOS'!$G$3+SUM('DEMAIS MÓDULOS'!$B$27:$D$27)</f>
        <v>1329.4166666666667</v>
      </c>
      <c r="G7" s="40">
        <f>J6</f>
        <v>2.6010999999999999E-3</v>
      </c>
      <c r="H7" s="90">
        <v>1</v>
      </c>
      <c r="I7" s="90">
        <v>0.08</v>
      </c>
      <c r="J7" s="40">
        <f>Tabela33[[#This Row],[% incidencia]]*Tabela33[[#This Row],[Percentual de Desligamento]]*Tabela33[[#This Row],[Proporção mensal]]</f>
        <v>2.0808799999999999E-4</v>
      </c>
      <c r="K7" s="38">
        <f>Tabela33[[#This Row],[% do Item]]*Tabela33[[#This Row],[Base Cálculo]]</f>
        <v>0.27663565533333334</v>
      </c>
    </row>
    <row r="8" spans="1:11" ht="33" customHeight="1">
      <c r="A8" s="30"/>
      <c r="B8" s="30"/>
      <c r="D8" s="35" t="s">
        <v>3</v>
      </c>
      <c r="E8" s="37" t="s">
        <v>372</v>
      </c>
      <c r="F8" s="38">
        <f>'DEMAIS MÓDULOS'!$G$3+SUM('DEMAIS MÓDULOS'!$B$27:$D$27)</f>
        <v>1329.4166666666667</v>
      </c>
      <c r="G8" s="40">
        <v>1</v>
      </c>
      <c r="H8" s="91">
        <f>J6</f>
        <v>2.6010999999999999E-3</v>
      </c>
      <c r="I8" s="91">
        <f>B5*'DEMAIS MÓDULOS'!$D$43</f>
        <v>3.2000000000000001E-2</v>
      </c>
      <c r="J8" s="40">
        <f>Tabela33[[#This Row],[% incidencia]]*Tabela33[[#This Row],[Percentual de Desligamento]]*Tabela33[[#This Row],[Proporção mensal]]</f>
        <v>8.3235199999999999E-5</v>
      </c>
      <c r="K8" s="38">
        <f>Tabela33[[#This Row],[% do Item]]*Tabela33[[#This Row],[Base Cálculo]]</f>
        <v>0.11065426213333333</v>
      </c>
    </row>
    <row r="9" spans="1:11" ht="33" customHeight="1">
      <c r="A9" s="30"/>
      <c r="B9" s="30"/>
      <c r="D9" s="35" t="s">
        <v>4</v>
      </c>
      <c r="E9" s="37" t="s">
        <v>43</v>
      </c>
      <c r="F9" s="38">
        <f>'DEMAIS MÓDULOS'!$G$3+SUM('DEMAIS MÓDULOS'!$B$27:$D$27)</f>
        <v>1329.4166666666667</v>
      </c>
      <c r="G9" s="40">
        <f>7/30/12</f>
        <v>1.9444444444444445E-2</v>
      </c>
      <c r="H9" s="89">
        <f>'PARAMETROS DA CONTRATAÇÃO'!Q7</f>
        <v>0.56240000000000001</v>
      </c>
      <c r="I9" s="89">
        <f>'PADRAO E REFERENCIA'!G12</f>
        <v>0.94450000000000001</v>
      </c>
      <c r="J9" s="40">
        <f>Tabela33[[#This Row],[% incidencia]]*Tabela33[[#This Row],[Percentual de Desligamento]]*Tabela33[[#This Row],[Proporção mensal]]</f>
        <v>1.0328632222222222E-2</v>
      </c>
      <c r="K9" s="38">
        <f>Tabela33[[#This Row],[% do Item]]*Tabela33[[#This Row],[Base Cálculo]]</f>
        <v>13.731055820092594</v>
      </c>
    </row>
    <row r="10" spans="1:11" ht="33" customHeight="1">
      <c r="A10" s="30"/>
      <c r="B10" s="30"/>
      <c r="D10" s="35" t="s">
        <v>261</v>
      </c>
      <c r="E10" s="37" t="s">
        <v>373</v>
      </c>
      <c r="F10" s="38">
        <f>'DEMAIS MÓDULOS'!$G$3+SUM('DEMAIS MÓDULOS'!$B$27:$D$27)</f>
        <v>1329.4166666666667</v>
      </c>
      <c r="G10" s="40">
        <f>'PARAMETROS DA CONTRATAÇÃO'!K7</f>
        <v>0.31</v>
      </c>
      <c r="H10" s="90">
        <v>1</v>
      </c>
      <c r="I10" s="91">
        <f>J9</f>
        <v>1.0328632222222222E-2</v>
      </c>
      <c r="J10" s="40">
        <f>Tabela33[[#This Row],[% incidencia]]*Tabela33[[#This Row],[Percentual de Desligamento]]*Tabela33[[#This Row],[Proporção mensal]]</f>
        <v>3.201875988888889E-3</v>
      </c>
      <c r="K10" s="38">
        <f>Tabela33[[#This Row],[% do Item]]*Tabela33[[#This Row],[Base Cálculo]]</f>
        <v>4.2566273042287044</v>
      </c>
    </row>
    <row r="11" spans="1:11" ht="33" customHeight="1">
      <c r="A11" s="30"/>
      <c r="B11" s="30"/>
      <c r="D11" s="35" t="s">
        <v>374</v>
      </c>
      <c r="E11" s="37" t="s">
        <v>375</v>
      </c>
      <c r="F11" s="38">
        <f>'DEMAIS MÓDULOS'!$G$3+SUM('DEMAIS MÓDULOS'!$B$27:$D$27)</f>
        <v>1329.4166666666667</v>
      </c>
      <c r="G11" s="40">
        <v>1</v>
      </c>
      <c r="H11" s="91">
        <f>I10</f>
        <v>1.0328632222222222E-2</v>
      </c>
      <c r="I11" s="91">
        <f>B5*'DEMAIS MÓDULOS'!$D$43</f>
        <v>3.2000000000000001E-2</v>
      </c>
      <c r="J11" s="40">
        <f>Tabela33[[#This Row],[% incidencia]]*Tabela33[[#This Row],[Percentual de Desligamento]]*Tabela33[[#This Row],[Proporção mensal]]</f>
        <v>3.3051623111111114E-4</v>
      </c>
      <c r="K11" s="38">
        <f>Tabela33[[#This Row],[% do Item]]*Tabela33[[#This Row],[Base Cálculo]]</f>
        <v>0.43939378624296305</v>
      </c>
    </row>
    <row r="12" spans="1:11" ht="12.75">
      <c r="D12" s="42" t="s">
        <v>376</v>
      </c>
      <c r="E12" s="42"/>
      <c r="F12" s="42"/>
      <c r="G12" s="42"/>
      <c r="H12" s="42"/>
      <c r="I12" s="42"/>
      <c r="J12" s="42"/>
      <c r="K12" s="92">
        <f>SUBTOTAL(109,Tabela33[Valor])</f>
        <v>22.272312519697596</v>
      </c>
    </row>
    <row r="14" spans="1:11" ht="33" customHeight="1" thickBot="1">
      <c r="D14" s="459" t="s">
        <v>377</v>
      </c>
      <c r="E14" s="460"/>
      <c r="F14" s="460"/>
      <c r="G14" s="460"/>
      <c r="H14" s="460"/>
      <c r="I14" s="460"/>
      <c r="J14" s="460"/>
      <c r="K14" s="461"/>
    </row>
    <row r="15" spans="1:11" ht="33" customHeight="1" thickTop="1">
      <c r="D15" s="42" t="s">
        <v>93</v>
      </c>
      <c r="E15" s="42" t="s">
        <v>185</v>
      </c>
      <c r="F15" s="42" t="s">
        <v>366</v>
      </c>
      <c r="G15" s="42" t="s">
        <v>367</v>
      </c>
      <c r="H15" s="42" t="s">
        <v>368</v>
      </c>
      <c r="I15" s="42" t="s">
        <v>369</v>
      </c>
      <c r="J15" s="42" t="s">
        <v>370</v>
      </c>
      <c r="K15" s="42" t="s">
        <v>10</v>
      </c>
    </row>
    <row r="16" spans="1:11" ht="33" customHeight="1">
      <c r="D16" s="42" t="s">
        <v>0</v>
      </c>
      <c r="E16" s="36" t="s">
        <v>42</v>
      </c>
      <c r="F16" s="93">
        <f>'DEMAIS MÓDULOS'!$G$26+SUM('DEMAIS MÓDULOS'!$B$26:$D$26)</f>
        <v>1501.8057916666667</v>
      </c>
      <c r="G16" s="43">
        <f>1/12</f>
        <v>8.3333333333333329E-2</v>
      </c>
      <c r="H16" s="94">
        <f>'PARAMETROS DA CONTRATAÇÃO'!Q7</f>
        <v>0.56240000000000001</v>
      </c>
      <c r="I16" s="94">
        <f>'PADRAO E REFERENCIA'!G11</f>
        <v>5.5500000000000001E-2</v>
      </c>
      <c r="J16" s="43">
        <f>Tabela3339[[#This Row],[Proporção mensal]]*Tabela3339[[#This Row],[Percentual de Desligamento]]*Tabela3339[[#This Row],[% incidencia]]</f>
        <v>2.6011000000000003E-3</v>
      </c>
      <c r="K16" s="93">
        <f>Tabela3339[[#This Row],[% do Item]]*Tabela3339[[#This Row],[Base Cálculo]]</f>
        <v>3.9063470447041673</v>
      </c>
    </row>
    <row r="17" spans="4:11" ht="33" customHeight="1">
      <c r="D17" s="42" t="s">
        <v>2</v>
      </c>
      <c r="E17" s="36" t="s">
        <v>371</v>
      </c>
      <c r="F17" s="93">
        <f>'DEMAIS MÓDULOS'!$G$26+SUM('DEMAIS MÓDULOS'!$B$26:$D$26)</f>
        <v>1501.8057916666667</v>
      </c>
      <c r="G17" s="43">
        <f>J16</f>
        <v>2.6011000000000003E-3</v>
      </c>
      <c r="H17" s="43">
        <v>1</v>
      </c>
      <c r="I17" s="43">
        <v>0.08</v>
      </c>
      <c r="J17" s="43">
        <f>Tabela3339[[#This Row],[Proporção mensal]]*Tabela3339[[#This Row],[Percentual de Desligamento]]*Tabela3339[[#This Row],[% incidencia]]</f>
        <v>2.0808800000000002E-4</v>
      </c>
      <c r="K17" s="93">
        <f>Tabela3339[[#This Row],[% do Item]]*Tabela3339[[#This Row],[Base Cálculo]]</f>
        <v>0.31250776357633336</v>
      </c>
    </row>
    <row r="18" spans="4:11" ht="33" customHeight="1">
      <c r="D18" s="42" t="s">
        <v>3</v>
      </c>
      <c r="E18" s="36" t="s">
        <v>372</v>
      </c>
      <c r="F18" s="93">
        <f>'DEMAIS MÓDULOS'!$G$26+SUM('DEMAIS MÓDULOS'!$B$26:$D$26)</f>
        <v>1501.8057916666667</v>
      </c>
      <c r="G18" s="43">
        <v>1</v>
      </c>
      <c r="H18" s="43">
        <f>J16</f>
        <v>2.6011000000000003E-3</v>
      </c>
      <c r="I18" s="43">
        <f>B5*'DEMAIS MÓDULOS'!$D$41</f>
        <v>3.2000000000000001E-2</v>
      </c>
      <c r="J18" s="43">
        <f>Tabela3339[[#This Row],[Proporção mensal]]*Tabela3339[[#This Row],[Percentual de Desligamento]]*Tabela3339[[#This Row],[% incidencia]]</f>
        <v>8.3235200000000012E-5</v>
      </c>
      <c r="K18" s="93">
        <f>Tabela3339[[#This Row],[% do Item]]*Tabela3339[[#This Row],[Base Cálculo]]</f>
        <v>0.12500310543053336</v>
      </c>
    </row>
    <row r="19" spans="4:11" ht="33" customHeight="1">
      <c r="D19" s="42" t="s">
        <v>4</v>
      </c>
      <c r="E19" s="36" t="s">
        <v>43</v>
      </c>
      <c r="F19" s="93">
        <f>'DEMAIS MÓDULOS'!$G$26+SUM('DEMAIS MÓDULOS'!$B$26:$D$26)</f>
        <v>1501.8057916666667</v>
      </c>
      <c r="G19" s="43">
        <f>7/30/12</f>
        <v>1.9444444444444445E-2</v>
      </c>
      <c r="H19" s="94">
        <f>'PARAMETROS DA CONTRATAÇÃO'!Q7</f>
        <v>0.56240000000000001</v>
      </c>
      <c r="I19" s="94">
        <f>'PADRAO E REFERENCIA'!G12</f>
        <v>0.94450000000000001</v>
      </c>
      <c r="J19" s="43">
        <f>Tabela3339[[#This Row],[Proporção mensal]]*Tabela3339[[#This Row],[Percentual de Desligamento]]*Tabela3339[[#This Row],[% incidencia]]</f>
        <v>1.0328632222222222E-2</v>
      </c>
      <c r="K19" s="93">
        <f>Tabela3339[[#This Row],[% do Item]]*Tabela3339[[#This Row],[Base Cálculo]]</f>
        <v>15.511599691328287</v>
      </c>
    </row>
    <row r="20" spans="4:11" ht="33" customHeight="1">
      <c r="D20" s="42" t="s">
        <v>261</v>
      </c>
      <c r="E20" s="36" t="s">
        <v>373</v>
      </c>
      <c r="F20" s="93">
        <f>'DEMAIS MÓDULOS'!$G$26+SUM('DEMAIS MÓDULOS'!$B$26:$D$26)</f>
        <v>1501.8057916666667</v>
      </c>
      <c r="G20" s="43">
        <f>'PARAMETROS DA CONTRATAÇÃO'!N7</f>
        <v>0.31</v>
      </c>
      <c r="H20" s="43">
        <v>1</v>
      </c>
      <c r="I20" s="43">
        <f>J19</f>
        <v>1.0328632222222222E-2</v>
      </c>
      <c r="J20" s="43">
        <f>Tabela3339[[#This Row],[Proporção mensal]]*Tabela3339[[#This Row],[Percentual de Desligamento]]*Tabela3339[[#This Row],[% incidencia]]</f>
        <v>3.201875988888889E-3</v>
      </c>
      <c r="K20" s="93">
        <f>Tabela3339[[#This Row],[% do Item]]*Tabela3339[[#This Row],[Base Cálculo]]</f>
        <v>4.808595904311769</v>
      </c>
    </row>
    <row r="21" spans="4:11" ht="33" customHeight="1">
      <c r="D21" s="42" t="s">
        <v>374</v>
      </c>
      <c r="E21" s="36" t="s">
        <v>375</v>
      </c>
      <c r="F21" s="93">
        <f>'DEMAIS MÓDULOS'!$G$26+SUM('DEMAIS MÓDULOS'!$B$26:$D$26)</f>
        <v>1501.8057916666667</v>
      </c>
      <c r="G21" s="43">
        <v>1</v>
      </c>
      <c r="H21" s="43">
        <f>J19</f>
        <v>1.0328632222222222E-2</v>
      </c>
      <c r="I21" s="43">
        <f>B6*'DEMAIS MÓDULOS'!$D$41</f>
        <v>3.2000000000000001E-2</v>
      </c>
      <c r="J21" s="43">
        <f>Tabela3339[[#This Row],[Proporção mensal]]*Tabela3339[[#This Row],[Percentual de Desligamento]]*Tabela3339[[#This Row],[% incidencia]]</f>
        <v>3.3051623111111114E-4</v>
      </c>
      <c r="K21" s="93">
        <f>Tabela3339[[#This Row],[% do Item]]*Tabela3339[[#This Row],[Base Cálculo]]</f>
        <v>0.49637119012250525</v>
      </c>
    </row>
    <row r="22" spans="4:11" ht="12.75">
      <c r="D22" s="85" t="s">
        <v>376</v>
      </c>
      <c r="K22" s="95">
        <f>SUBTOTAL(109,Tabela3339[Valor])</f>
        <v>25.160424699473595</v>
      </c>
    </row>
    <row r="23" spans="4:11" ht="33" customHeight="1">
      <c r="D23" s="85" t="s">
        <v>388</v>
      </c>
    </row>
    <row r="24" spans="4:11" ht="33" customHeight="1">
      <c r="D24" s="85" t="s">
        <v>378</v>
      </c>
    </row>
    <row r="25" spans="4:11" ht="33" customHeight="1">
      <c r="D25" s="85" t="s">
        <v>379</v>
      </c>
    </row>
    <row r="26" spans="4:11" ht="33" customHeight="1">
      <c r="D26" s="85" t="s">
        <v>380</v>
      </c>
    </row>
    <row r="27" spans="4:11" ht="12.75"/>
    <row r="28" spans="4:11" ht="33" customHeight="1">
      <c r="D28" s="85" t="s">
        <v>381</v>
      </c>
    </row>
    <row r="29" spans="4:11" ht="33" customHeight="1">
      <c r="D29" s="85" t="s">
        <v>382</v>
      </c>
    </row>
    <row r="30" spans="4:11" ht="33" customHeight="1">
      <c r="D30" s="85" t="s">
        <v>383</v>
      </c>
    </row>
    <row r="31" spans="4:11" ht="33" customHeight="1">
      <c r="D31" s="85" t="s">
        <v>384</v>
      </c>
    </row>
    <row r="32" spans="4:11" ht="33" customHeight="1">
      <c r="D32" s="85" t="s">
        <v>385</v>
      </c>
    </row>
    <row r="33" spans="4:4" ht="33" customHeight="1">
      <c r="D33" s="85" t="s">
        <v>386</v>
      </c>
    </row>
    <row r="34" spans="4:4" ht="33" customHeight="1">
      <c r="D34" s="85" t="s">
        <v>387</v>
      </c>
    </row>
  </sheetData>
  <sheetProtection algorithmName="SHA-512" hashValue="gOpvAPq92h3SbKCQ4nDXLHlurfTr7w2KfsOt/QGAZfgzsyvYkbo+F567IHfw0aWPOwN/uj6+GMDM7Vm7TPi97g==" saltValue="jcK7VlYZT5sN9ImExdffng==" spinCount="100000" sheet="1" objects="1" scenarios="1"/>
  <mergeCells count="3">
    <mergeCell ref="D4:K4"/>
    <mergeCell ref="D14:K14"/>
    <mergeCell ref="A1:K1"/>
  </mergeCells>
  <pageMargins left="0.511811024" right="0.511811024" top="0.78740157499999996" bottom="0.78740157499999996" header="0.31496062000000002" footer="0.31496062000000002"/>
  <pageSetup paperSize="9" orientation="portrait" verticalDpi="0" r:id="rId1"/>
  <legacyDrawing r:id="rId2"/>
  <tableParts count="3">
    <tablePart r:id="rId3"/>
    <tablePart r:id="rId4"/>
    <tablePart r:id="rId5"/>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90"/>
  <sheetViews>
    <sheetView showGridLines="0" topLeftCell="A70" zoomScale="70" zoomScaleNormal="70" workbookViewId="0">
      <selection activeCell="G85" sqref="G85"/>
    </sheetView>
  </sheetViews>
  <sheetFormatPr defaultColWidth="9.140625" defaultRowHeight="12.75"/>
  <cols>
    <col min="1" max="1" width="16.140625" style="45" customWidth="1"/>
    <col min="2" max="2" width="66.140625" style="45" customWidth="1"/>
    <col min="3" max="3" width="19.7109375" style="45" customWidth="1"/>
    <col min="4" max="4" width="20" style="45" customWidth="1"/>
    <col min="5" max="5" width="26.7109375" style="45" customWidth="1"/>
    <col min="6" max="6" width="20.85546875" style="45" customWidth="1"/>
    <col min="7" max="7" width="30.42578125" style="45" customWidth="1"/>
    <col min="8" max="8" width="26.28515625" style="45" customWidth="1"/>
    <col min="9" max="9" width="27.140625" style="45" customWidth="1"/>
    <col min="10" max="10" width="22" style="45" customWidth="1"/>
    <col min="11" max="16384" width="9.140625" style="45"/>
  </cols>
  <sheetData>
    <row r="1" spans="1:14" ht="33" customHeight="1" thickBot="1">
      <c r="A1" s="479" t="s">
        <v>427</v>
      </c>
      <c r="B1" s="480"/>
      <c r="C1" s="480"/>
      <c r="D1" s="480"/>
      <c r="E1" s="480"/>
      <c r="F1" s="480"/>
      <c r="G1" s="481"/>
    </row>
    <row r="2" spans="1:14" ht="33" customHeight="1" thickTop="1">
      <c r="A2" s="31" t="s">
        <v>93</v>
      </c>
      <c r="B2" s="31" t="s">
        <v>185</v>
      </c>
      <c r="C2" s="31" t="s">
        <v>256</v>
      </c>
      <c r="D2" s="31" t="s">
        <v>255</v>
      </c>
      <c r="E2" s="31" t="s">
        <v>19</v>
      </c>
      <c r="F2" s="31" t="s">
        <v>153</v>
      </c>
      <c r="G2" s="31" t="s">
        <v>20</v>
      </c>
    </row>
    <row r="3" spans="1:14" ht="14.25">
      <c r="A3" s="33">
        <v>1</v>
      </c>
      <c r="B3" s="36" t="s">
        <v>537</v>
      </c>
      <c r="C3" s="31" t="s">
        <v>257</v>
      </c>
      <c r="D3" s="33">
        <v>4</v>
      </c>
      <c r="E3" s="46">
        <f>'PARAMETROS DA CONTRATAÇÃO'!Y7</f>
        <v>25</v>
      </c>
      <c r="F3" s="46">
        <f>G3/12</f>
        <v>8.3333333333333339</v>
      </c>
      <c r="G3" s="46">
        <f>E3*D3</f>
        <v>100</v>
      </c>
      <c r="J3" s="47"/>
    </row>
    <row r="4" spans="1:14" ht="25.5">
      <c r="A4" s="33">
        <v>2</v>
      </c>
      <c r="B4" s="36" t="s">
        <v>539</v>
      </c>
      <c r="C4" s="31" t="s">
        <v>205</v>
      </c>
      <c r="D4" s="385">
        <v>2</v>
      </c>
      <c r="E4" s="46">
        <f>'PARAMETROS DA CONTRATAÇÃO'!Y8</f>
        <v>30</v>
      </c>
      <c r="F4" s="46">
        <f t="shared" ref="F4:F8" si="0">G4/12</f>
        <v>5</v>
      </c>
      <c r="G4" s="46">
        <f t="shared" ref="G4:G8" si="1">E4*D4</f>
        <v>60</v>
      </c>
    </row>
    <row r="5" spans="1:14" ht="33" customHeight="1">
      <c r="A5" s="33">
        <v>3</v>
      </c>
      <c r="B5" s="36" t="s">
        <v>540</v>
      </c>
      <c r="C5" s="31" t="s">
        <v>257</v>
      </c>
      <c r="D5" s="33">
        <v>4</v>
      </c>
      <c r="E5" s="46">
        <f>'PARAMETROS DA CONTRATAÇÃO'!Y9</f>
        <v>20</v>
      </c>
      <c r="F5" s="46">
        <f t="shared" si="0"/>
        <v>6.666666666666667</v>
      </c>
      <c r="G5" s="46">
        <f t="shared" si="1"/>
        <v>80</v>
      </c>
      <c r="N5" s="48"/>
    </row>
    <row r="6" spans="1:14" s="192" customFormat="1" ht="14.25">
      <c r="A6" s="33">
        <v>4</v>
      </c>
      <c r="B6" s="36" t="s">
        <v>538</v>
      </c>
      <c r="C6" s="31" t="s">
        <v>257</v>
      </c>
      <c r="D6" s="33">
        <v>0</v>
      </c>
      <c r="E6" s="46">
        <f>'PARAMETROS DA CONTRATAÇÃO'!Y10</f>
        <v>12</v>
      </c>
      <c r="F6" s="46"/>
      <c r="G6" s="46">
        <f t="shared" si="1"/>
        <v>0</v>
      </c>
      <c r="N6" s="48"/>
    </row>
    <row r="7" spans="1:14" ht="14.25">
      <c r="A7" s="33">
        <v>5</v>
      </c>
      <c r="B7" s="36" t="s">
        <v>147</v>
      </c>
      <c r="C7" s="31" t="s">
        <v>257</v>
      </c>
      <c r="D7" s="33">
        <v>1</v>
      </c>
      <c r="E7" s="46">
        <f>'PARAMETROS DA CONTRATAÇÃO'!Y11</f>
        <v>6</v>
      </c>
      <c r="F7" s="46">
        <f t="shared" si="0"/>
        <v>0.5</v>
      </c>
      <c r="G7" s="46">
        <f t="shared" si="1"/>
        <v>6</v>
      </c>
    </row>
    <row r="8" spans="1:14" ht="14.25">
      <c r="A8" s="33">
        <v>6</v>
      </c>
      <c r="B8" s="36" t="s">
        <v>146</v>
      </c>
      <c r="C8" s="31" t="s">
        <v>205</v>
      </c>
      <c r="D8" s="33">
        <v>6</v>
      </c>
      <c r="E8" s="46">
        <f>'PARAMETROS DA CONTRATAÇÃO'!Y12</f>
        <v>6</v>
      </c>
      <c r="F8" s="46">
        <f t="shared" si="0"/>
        <v>3</v>
      </c>
      <c r="G8" s="46">
        <f t="shared" si="1"/>
        <v>36</v>
      </c>
    </row>
    <row r="9" spans="1:14" ht="33" customHeight="1">
      <c r="A9" s="32" t="s">
        <v>143</v>
      </c>
      <c r="B9" s="32"/>
      <c r="C9" s="49"/>
      <c r="D9" s="32">
        <f>SUBTOTAL(109,D3:D8)</f>
        <v>17</v>
      </c>
      <c r="E9" s="383">
        <f>'PARAMETROS DA CONTRATAÇÃO'!Y13</f>
        <v>99</v>
      </c>
      <c r="F9" s="50">
        <f>SUM(F3:F8)</f>
        <v>23.5</v>
      </c>
      <c r="G9" s="50">
        <f>SUM(G3:G8)</f>
        <v>282</v>
      </c>
    </row>
    <row r="11" spans="1:14">
      <c r="A11" s="482"/>
      <c r="B11" s="482"/>
      <c r="C11" s="482"/>
      <c r="D11" s="482"/>
      <c r="E11" s="482"/>
      <c r="F11" s="482"/>
      <c r="G11" s="482"/>
      <c r="H11" s="482"/>
      <c r="I11" s="482"/>
    </row>
    <row r="12" spans="1:14" ht="46.5" customHeight="1" thickBot="1">
      <c r="A12" s="483" t="s">
        <v>156</v>
      </c>
      <c r="B12" s="483"/>
      <c r="C12" s="483"/>
      <c r="D12" s="483"/>
      <c r="E12" s="483"/>
      <c r="F12" s="483"/>
      <c r="G12" s="483"/>
      <c r="H12" s="483"/>
      <c r="I12" s="483"/>
    </row>
    <row r="13" spans="1:14" ht="45" customHeight="1" thickTop="1">
      <c r="A13" s="27" t="s">
        <v>93</v>
      </c>
      <c r="B13" s="27" t="s">
        <v>185</v>
      </c>
      <c r="C13" s="27" t="s">
        <v>155</v>
      </c>
      <c r="D13" s="27" t="s">
        <v>186</v>
      </c>
      <c r="E13" s="27" t="s">
        <v>431</v>
      </c>
      <c r="F13" s="27" t="s">
        <v>432</v>
      </c>
      <c r="G13" s="27" t="s">
        <v>430</v>
      </c>
      <c r="H13" s="27" t="s">
        <v>429</v>
      </c>
      <c r="I13" s="27" t="s">
        <v>428</v>
      </c>
    </row>
    <row r="14" spans="1:14" ht="54.75" customHeight="1">
      <c r="A14" s="27">
        <v>1</v>
      </c>
      <c r="B14" s="194" t="str">
        <f>'PARAMETROS DA CONTRATAÇÃO'!X33</f>
        <v>Assento vaso sanitário, material: plástico, cor: branca, características adicionais: almofadado características adicionais: compatível: vaso sanitário deca modelo Monte Carlo.</v>
      </c>
      <c r="C14" s="27" t="s">
        <v>155</v>
      </c>
      <c r="D14" s="27">
        <f>'PARAMETROS DA CONTRATAÇÃO'!Y33</f>
        <v>396476</v>
      </c>
      <c r="E14" s="51">
        <f>F14/12</f>
        <v>1</v>
      </c>
      <c r="F14" s="386">
        <v>12</v>
      </c>
      <c r="G14" s="29">
        <f>'PARAMETROS DA CONTRATAÇÃO'!Z33</f>
        <v>16.5</v>
      </c>
      <c r="H14" s="29">
        <f t="shared" ref="H14:H59" si="2">ROUND(E14*G14,2)</f>
        <v>16.5</v>
      </c>
      <c r="I14" s="29">
        <f t="shared" ref="I14:I59" si="3">ROUND(F14*G14,2)</f>
        <v>198</v>
      </c>
    </row>
    <row r="15" spans="1:14" ht="33" customHeight="1">
      <c r="A15" s="27">
        <v>2</v>
      </c>
      <c r="B15" s="194" t="str">
        <f>'PARAMETROS DA CONTRATAÇÃO'!X34</f>
        <v>Balde em plástico com alça de metal de 10L de capacidade</v>
      </c>
      <c r="C15" s="27" t="s">
        <v>155</v>
      </c>
      <c r="D15" s="27">
        <f>'PARAMETROS DA CONTRATAÇÃO'!Y34</f>
        <v>216081</v>
      </c>
      <c r="E15" s="51">
        <f t="shared" ref="E15:E59" si="4">F15/12</f>
        <v>1</v>
      </c>
      <c r="F15" s="386">
        <v>12</v>
      </c>
      <c r="G15" s="29">
        <f>'PARAMETROS DA CONTRATAÇÃO'!Z34</f>
        <v>16</v>
      </c>
      <c r="H15" s="29">
        <f t="shared" si="2"/>
        <v>16</v>
      </c>
      <c r="I15" s="29">
        <f t="shared" si="3"/>
        <v>192</v>
      </c>
    </row>
    <row r="16" spans="1:14" ht="33" customHeight="1">
      <c r="A16" s="27">
        <v>3</v>
      </c>
      <c r="B16" s="194" t="str">
        <f>'PARAMETROS DA CONTRATAÇÃO'!X35</f>
        <v>Balde Plastico de 20 litros</v>
      </c>
      <c r="C16" s="27" t="s">
        <v>701</v>
      </c>
      <c r="D16" s="27">
        <f>'PARAMETROS DA CONTRATAÇÃO'!Y35</f>
        <v>355563</v>
      </c>
      <c r="E16" s="51">
        <f t="shared" si="4"/>
        <v>0</v>
      </c>
      <c r="F16" s="386">
        <v>0</v>
      </c>
      <c r="G16" s="29">
        <f>'PARAMETROS DA CONTRATAÇÃO'!Z35</f>
        <v>14.5</v>
      </c>
      <c r="H16" s="29">
        <f t="shared" si="2"/>
        <v>0</v>
      </c>
      <c r="I16" s="29">
        <f t="shared" si="3"/>
        <v>0</v>
      </c>
    </row>
    <row r="17" spans="1:11" ht="33" customHeight="1">
      <c r="A17" s="27">
        <v>4</v>
      </c>
      <c r="B17" s="194" t="str">
        <f>'PARAMETROS DA CONTRATAÇÃO'!X36</f>
        <v>Balde Plastico de 12 litros</v>
      </c>
      <c r="C17" s="27" t="s">
        <v>701</v>
      </c>
      <c r="D17" s="27">
        <f>'PARAMETROS DA CONTRATAÇÃO'!Y36</f>
        <v>417993</v>
      </c>
      <c r="E17" s="51">
        <f t="shared" si="4"/>
        <v>0</v>
      </c>
      <c r="F17" s="386">
        <v>0</v>
      </c>
      <c r="G17" s="29">
        <f>'PARAMETROS DA CONTRATAÇÃO'!Z36</f>
        <v>12</v>
      </c>
      <c r="H17" s="29">
        <f t="shared" si="2"/>
        <v>0</v>
      </c>
      <c r="I17" s="29">
        <f t="shared" si="3"/>
        <v>0</v>
      </c>
    </row>
    <row r="18" spans="1:11" ht="33" customHeight="1">
      <c r="A18" s="27">
        <v>5</v>
      </c>
      <c r="B18" s="194" t="str">
        <f>'PARAMETROS DA CONTRATAÇÃO'!X37</f>
        <v>Carrinho de Limpeza MOP</v>
      </c>
      <c r="C18" s="27" t="s">
        <v>701</v>
      </c>
      <c r="D18" s="27">
        <f>'PARAMETROS DA CONTRATAÇÃO'!Y37</f>
        <v>123242</v>
      </c>
      <c r="E18" s="51">
        <f t="shared" si="4"/>
        <v>0</v>
      </c>
      <c r="F18" s="386">
        <v>0</v>
      </c>
      <c r="G18" s="29">
        <f>'PARAMETROS DA CONTRATAÇÃO'!Z37</f>
        <v>230</v>
      </c>
      <c r="H18" s="29">
        <f t="shared" si="2"/>
        <v>0</v>
      </c>
      <c r="I18" s="29">
        <f t="shared" si="3"/>
        <v>0</v>
      </c>
    </row>
    <row r="19" spans="1:11" ht="33" customHeight="1">
      <c r="A19" s="27">
        <v>6</v>
      </c>
      <c r="B19" s="194" t="str">
        <f>'PARAMETROS DA CONTRATAÇÃO'!X38</f>
        <v>Balde espremedor MOP limpeza profissional</v>
      </c>
      <c r="C19" s="27" t="s">
        <v>155</v>
      </c>
      <c r="D19" s="27">
        <f>'PARAMETROS DA CONTRATAÇÃO'!Y38</f>
        <v>307875</v>
      </c>
      <c r="E19" s="51">
        <f t="shared" si="4"/>
        <v>0.5</v>
      </c>
      <c r="F19" s="386">
        <v>6</v>
      </c>
      <c r="G19" s="29">
        <f>'PARAMETROS DA CONTRATAÇÃO'!Z38</f>
        <v>90</v>
      </c>
      <c r="H19" s="29">
        <f t="shared" si="2"/>
        <v>45</v>
      </c>
      <c r="I19" s="29">
        <f t="shared" si="3"/>
        <v>540</v>
      </c>
    </row>
    <row r="20" spans="1:11" ht="33" customHeight="1">
      <c r="A20" s="27">
        <v>7</v>
      </c>
      <c r="B20" s="194" t="str">
        <f>'PARAMETROS DA CONTRATAÇÃO'!X39</f>
        <v>Espanador de mesa eletrostático em microfibra</v>
      </c>
      <c r="C20" s="27" t="s">
        <v>155</v>
      </c>
      <c r="D20" s="27">
        <f>'PARAMETROS DA CONTRATAÇÃO'!Y39</f>
        <v>236909</v>
      </c>
      <c r="E20" s="51">
        <f t="shared" si="4"/>
        <v>1</v>
      </c>
      <c r="F20" s="386">
        <v>12</v>
      </c>
      <c r="G20" s="29">
        <f>'PARAMETROS DA CONTRATAÇÃO'!Z39</f>
        <v>12.5</v>
      </c>
      <c r="H20" s="29">
        <f t="shared" si="2"/>
        <v>12.5</v>
      </c>
      <c r="I20" s="29">
        <f t="shared" si="3"/>
        <v>150</v>
      </c>
    </row>
    <row r="21" spans="1:11" ht="33" customHeight="1">
      <c r="A21" s="27">
        <v>8</v>
      </c>
      <c r="B21" s="194" t="str">
        <f>'PARAMETROS DA CONTRATAÇÃO'!X40</f>
        <v>Facão, material lâmina: aço carbono, material cabo; madeira, comprimento: 21 pol, tipo: terçado (anual)</v>
      </c>
      <c r="C21" s="27" t="s">
        <v>155</v>
      </c>
      <c r="D21" s="27">
        <f>'PARAMETROS DA CONTRATAÇÃO'!Y40</f>
        <v>444084</v>
      </c>
      <c r="E21" s="51">
        <f t="shared" si="4"/>
        <v>0</v>
      </c>
      <c r="F21" s="386">
        <v>0</v>
      </c>
      <c r="G21" s="29">
        <f>'PARAMETROS DA CONTRATAÇÃO'!Z40</f>
        <v>16</v>
      </c>
      <c r="H21" s="29">
        <f t="shared" si="2"/>
        <v>0</v>
      </c>
      <c r="I21" s="29">
        <f t="shared" si="3"/>
        <v>0</v>
      </c>
    </row>
    <row r="22" spans="1:11" ht="33" customHeight="1">
      <c r="A22" s="27">
        <v>9</v>
      </c>
      <c r="B22" s="194" t="str">
        <f>'PARAMETROS DA CONTRATAÇÃO'!X41</f>
        <v>Lixeiras Multiuso Inox Prata de 15L com Pedal</v>
      </c>
      <c r="C22" s="27" t="s">
        <v>155</v>
      </c>
      <c r="D22" s="27">
        <f>'PARAMETROS DA CONTRATAÇÃO'!Y41</f>
        <v>345502</v>
      </c>
      <c r="E22" s="51">
        <f t="shared" si="4"/>
        <v>0.5</v>
      </c>
      <c r="F22" s="386">
        <v>6</v>
      </c>
      <c r="G22" s="29">
        <f>'PARAMETROS DA CONTRATAÇÃO'!Z41</f>
        <v>45</v>
      </c>
      <c r="H22" s="29">
        <f t="shared" si="2"/>
        <v>22.5</v>
      </c>
      <c r="I22" s="29">
        <f t="shared" si="3"/>
        <v>270</v>
      </c>
    </row>
    <row r="23" spans="1:11" ht="33" customHeight="1">
      <c r="A23" s="27">
        <v>10</v>
      </c>
      <c r="B23" s="194" t="str">
        <f>'PARAMETROS DA CONTRATAÇÃO'!X42</f>
        <v>Pá caixa coletora em Poliestireno e cabo anatômico em alumínio com altura ergonômica</v>
      </c>
      <c r="C23" s="27" t="s">
        <v>155</v>
      </c>
      <c r="D23" s="27">
        <f>'PARAMETROS DA CONTRATAÇÃO'!Y42</f>
        <v>236336</v>
      </c>
      <c r="E23" s="51">
        <f t="shared" si="4"/>
        <v>1</v>
      </c>
      <c r="F23" s="386">
        <v>12</v>
      </c>
      <c r="G23" s="29">
        <f>'PARAMETROS DA CONTRATAÇÃO'!Z42</f>
        <v>9</v>
      </c>
      <c r="H23" s="29">
        <f t="shared" si="2"/>
        <v>9</v>
      </c>
      <c r="I23" s="29">
        <f t="shared" si="3"/>
        <v>108</v>
      </c>
    </row>
    <row r="24" spans="1:11" ht="48" customHeight="1">
      <c r="A24" s="27">
        <v>11</v>
      </c>
      <c r="B24" s="194" t="str">
        <f>'PARAMETROS DA CONTRATAÇÃO'!X43</f>
        <v>Porta-papel higiênico, material: plástico abs, largura: 20 cm, altura: 27 cm, características adicionais: para rolo de 300 a 400 m</v>
      </c>
      <c r="C24" s="27" t="s">
        <v>155</v>
      </c>
      <c r="D24" s="27">
        <f>'PARAMETROS DA CONTRATAÇÃO'!Y43</f>
        <v>287999</v>
      </c>
      <c r="E24" s="51">
        <f t="shared" si="4"/>
        <v>1</v>
      </c>
      <c r="F24" s="386">
        <v>12</v>
      </c>
      <c r="G24" s="29">
        <f>'PARAMETROS DA CONTRATAÇÃO'!Z43</f>
        <v>9.5</v>
      </c>
      <c r="H24" s="29">
        <f t="shared" si="2"/>
        <v>9.5</v>
      </c>
      <c r="I24" s="29">
        <f t="shared" si="3"/>
        <v>114</v>
      </c>
    </row>
    <row r="25" spans="1:11" s="192" customFormat="1" ht="48" customHeight="1">
      <c r="A25" s="27">
        <v>12</v>
      </c>
      <c r="B25" s="194" t="str">
        <f>'PARAMETROS DA CONTRATAÇÃO'!X44</f>
        <v>Porta-toalha, material: plástico abs, cor: branca, tipo fixação: parede, tipo uso: toalha de papel, aplicação: banheiro, características adicionais: 2 dobras, visor transparente para verificação do</v>
      </c>
      <c r="C25" s="27" t="s">
        <v>155</v>
      </c>
      <c r="D25" s="27">
        <f>'PARAMETROS DA CONTRATAÇÃO'!Y44</f>
        <v>301988</v>
      </c>
      <c r="E25" s="51">
        <f t="shared" si="4"/>
        <v>1</v>
      </c>
      <c r="F25" s="386">
        <v>12</v>
      </c>
      <c r="G25" s="29">
        <f>'PARAMETROS DA CONTRATAÇÃO'!Z44</f>
        <v>9.5</v>
      </c>
      <c r="H25" s="29">
        <f t="shared" ref="H25:H58" si="5">ROUND(E25*G25,2)</f>
        <v>9.5</v>
      </c>
      <c r="I25" s="29">
        <f t="shared" ref="I25:I58" si="6">ROUND(F25*G25,2)</f>
        <v>114</v>
      </c>
      <c r="K25" s="193"/>
    </row>
    <row r="26" spans="1:11" s="196" customFormat="1" ht="48" customHeight="1">
      <c r="A26" s="27">
        <v>13</v>
      </c>
      <c r="B26" s="194" t="str">
        <f>'PARAMETROS DA CONTRATAÇÃO'!X45</f>
        <v>Rodo com plataforma de 40cm de largura, com cabo.</v>
      </c>
      <c r="C26" s="27" t="s">
        <v>155</v>
      </c>
      <c r="D26" s="27">
        <f>'PARAMETROS DA CONTRATAÇÃO'!Y45</f>
        <v>231996</v>
      </c>
      <c r="E26" s="51">
        <f t="shared" ref="E26:E38" si="7">F26/12</f>
        <v>1</v>
      </c>
      <c r="F26" s="386">
        <v>12</v>
      </c>
      <c r="G26" s="29">
        <f>'PARAMETROS DA CONTRATAÇÃO'!Z45</f>
        <v>12</v>
      </c>
      <c r="H26" s="29">
        <f t="shared" ref="H26:H38" si="8">ROUND(E26*G26,2)</f>
        <v>12</v>
      </c>
      <c r="I26" s="29">
        <f t="shared" ref="I26:I38" si="9">ROUND(F26*G26,2)</f>
        <v>144</v>
      </c>
      <c r="K26" s="193"/>
    </row>
    <row r="27" spans="1:11" s="196" customFormat="1" ht="48" customHeight="1">
      <c r="A27" s="27">
        <v>14</v>
      </c>
      <c r="B27" s="194" t="str">
        <f>'PARAMETROS DA CONTRATAÇÃO'!X46</f>
        <v>Rodo com plataforma de 60cm de largura, com cabo</v>
      </c>
      <c r="C27" s="27" t="s">
        <v>155</v>
      </c>
      <c r="D27" s="27">
        <f>'PARAMETROS DA CONTRATAÇÃO'!Y46</f>
        <v>232034</v>
      </c>
      <c r="E27" s="51">
        <f t="shared" si="7"/>
        <v>1</v>
      </c>
      <c r="F27" s="386">
        <v>12</v>
      </c>
      <c r="G27" s="29">
        <f>'PARAMETROS DA CONTRATAÇÃO'!Z46</f>
        <v>12</v>
      </c>
      <c r="H27" s="29">
        <f t="shared" si="8"/>
        <v>12</v>
      </c>
      <c r="I27" s="29">
        <f t="shared" si="9"/>
        <v>144</v>
      </c>
      <c r="K27" s="193"/>
    </row>
    <row r="28" spans="1:11" s="196" customFormat="1" ht="48" customHeight="1">
      <c r="A28" s="27">
        <v>15</v>
      </c>
      <c r="B28" s="194" t="str">
        <f>'PARAMETROS DA CONTRATAÇÃO'!X47</f>
        <v>Rodo limpa vidros dupla função combinado 50 cm  com cabo extensor 1 mt</v>
      </c>
      <c r="C28" s="27" t="s">
        <v>155</v>
      </c>
      <c r="D28" s="27">
        <f>'PARAMETROS DA CONTRATAÇÃO'!Y47</f>
        <v>229933</v>
      </c>
      <c r="E28" s="51">
        <f t="shared" ref="E28:E34" si="10">F28/12</f>
        <v>0.5</v>
      </c>
      <c r="F28" s="386">
        <v>6</v>
      </c>
      <c r="G28" s="29">
        <f>'PARAMETROS DA CONTRATAÇÃO'!Z47</f>
        <v>15</v>
      </c>
      <c r="H28" s="29">
        <f t="shared" ref="H28:H34" si="11">ROUND(E28*G28,2)</f>
        <v>7.5</v>
      </c>
      <c r="I28" s="29">
        <f t="shared" ref="I28:I34" si="12">ROUND(F28*G28,2)</f>
        <v>90</v>
      </c>
      <c r="K28" s="193"/>
    </row>
    <row r="29" spans="1:11" s="196" customFormat="1" ht="48" customHeight="1">
      <c r="A29" s="27">
        <v>16</v>
      </c>
      <c r="B29" s="194" t="str">
        <f>'PARAMETROS DA CONTRATAÇÃO'!X48</f>
        <v>Saboneteira, material suporte: plástico, material reservatório: plástico, altura: 26 cm, largura: 11 cm, capacidade: 800 ml, cor: gelo</v>
      </c>
      <c r="C29" s="27" t="s">
        <v>155</v>
      </c>
      <c r="D29" s="27">
        <f>'PARAMETROS DA CONTRATAÇÃO'!Y48</f>
        <v>265200</v>
      </c>
      <c r="E29" s="51">
        <f t="shared" si="10"/>
        <v>1</v>
      </c>
      <c r="F29" s="386">
        <v>12</v>
      </c>
      <c r="G29" s="29">
        <f>'PARAMETROS DA CONTRATAÇÃO'!Z48</f>
        <v>6</v>
      </c>
      <c r="H29" s="29">
        <f t="shared" si="11"/>
        <v>6</v>
      </c>
      <c r="I29" s="29">
        <f t="shared" si="12"/>
        <v>72</v>
      </c>
      <c r="K29" s="193"/>
    </row>
    <row r="30" spans="1:11" s="196" customFormat="1" ht="48" customHeight="1">
      <c r="A30" s="27">
        <v>17</v>
      </c>
      <c r="B30" s="194" t="str">
        <f>'PARAMETROS DA CONTRATAÇÃO'!X49</f>
        <v>Vassoura de cipó (trimestral)</v>
      </c>
      <c r="C30" s="27" t="s">
        <v>155</v>
      </c>
      <c r="D30" s="27">
        <f>'PARAMETROS DA CONTRATAÇÃO'!Y49</f>
        <v>151014</v>
      </c>
      <c r="E30" s="51">
        <f t="shared" si="10"/>
        <v>0</v>
      </c>
      <c r="F30" s="386">
        <v>0</v>
      </c>
      <c r="G30" s="29">
        <f>'PARAMETROS DA CONTRATAÇÃO'!Z49</f>
        <v>12</v>
      </c>
      <c r="H30" s="29">
        <f t="shared" si="11"/>
        <v>0</v>
      </c>
      <c r="I30" s="29">
        <f t="shared" si="12"/>
        <v>0</v>
      </c>
      <c r="K30" s="193"/>
    </row>
    <row r="31" spans="1:11" s="196" customFormat="1" ht="48" customHeight="1">
      <c r="A31" s="27">
        <v>18</v>
      </c>
      <c r="B31" s="194" t="str">
        <f>'PARAMETROS DA CONTRATAÇÃO'!X50</f>
        <v>Vassoura de nylon, tamanho comercial, com cabo</v>
      </c>
      <c r="C31" s="27" t="s">
        <v>155</v>
      </c>
      <c r="D31" s="27">
        <f>'PARAMETROS DA CONTRATAÇÃO'!Y50</f>
        <v>254511</v>
      </c>
      <c r="E31" s="51">
        <f t="shared" si="10"/>
        <v>2.0833333333333335</v>
      </c>
      <c r="F31" s="386">
        <v>25</v>
      </c>
      <c r="G31" s="29">
        <f>'PARAMETROS DA CONTRATAÇÃO'!Z50</f>
        <v>12</v>
      </c>
      <c r="H31" s="29">
        <f t="shared" si="11"/>
        <v>25</v>
      </c>
      <c r="I31" s="29">
        <f t="shared" si="12"/>
        <v>300</v>
      </c>
      <c r="K31" s="193" t="s">
        <v>703</v>
      </c>
    </row>
    <row r="32" spans="1:11" s="196" customFormat="1" ht="48" customHeight="1">
      <c r="A32" s="27">
        <v>19</v>
      </c>
      <c r="B32" s="194" t="str">
        <f>'PARAMETROS DA CONTRATAÇÃO'!X51</f>
        <v>Vassoura de pêlos (semestral)</v>
      </c>
      <c r="C32" s="27" t="s">
        <v>155</v>
      </c>
      <c r="D32" s="27">
        <f>'PARAMETROS DA CONTRATAÇÃO'!Y51</f>
        <v>446269</v>
      </c>
      <c r="E32" s="51">
        <f t="shared" si="10"/>
        <v>0</v>
      </c>
      <c r="F32" s="386">
        <v>0</v>
      </c>
      <c r="G32" s="29">
        <f>'PARAMETROS DA CONTRATAÇÃO'!Z51</f>
        <v>12</v>
      </c>
      <c r="H32" s="29">
        <f t="shared" si="11"/>
        <v>0</v>
      </c>
      <c r="I32" s="29">
        <f t="shared" si="12"/>
        <v>0</v>
      </c>
      <c r="K32" s="193"/>
    </row>
    <row r="33" spans="1:11" s="196" customFormat="1" ht="48" customHeight="1">
      <c r="A33" s="27">
        <v>20</v>
      </c>
      <c r="B33" s="194" t="str">
        <f>'PARAMETROS DA CONTRATAÇÃO'!X52</f>
        <v>Vassoura de piaçava</v>
      </c>
      <c r="C33" s="27" t="s">
        <v>155</v>
      </c>
      <c r="D33" s="27">
        <f>'PARAMETROS DA CONTRATAÇÃO'!Y52</f>
        <v>469862</v>
      </c>
      <c r="E33" s="51">
        <f t="shared" si="10"/>
        <v>0</v>
      </c>
      <c r="F33" s="386">
        <v>0</v>
      </c>
      <c r="G33" s="29">
        <f>'PARAMETROS DA CONTRATAÇÃO'!Z52</f>
        <v>12</v>
      </c>
      <c r="H33" s="29">
        <f t="shared" si="11"/>
        <v>0</v>
      </c>
      <c r="I33" s="29">
        <f t="shared" si="12"/>
        <v>0</v>
      </c>
      <c r="K33" s="193"/>
    </row>
    <row r="34" spans="1:11" s="196" customFormat="1" ht="48" customHeight="1">
      <c r="A34" s="27">
        <v>21</v>
      </c>
      <c r="B34" s="194" t="str">
        <f>'PARAMETROS DA CONTRATAÇÃO'!X53</f>
        <v>Vassoura tipo escovão com cabo</v>
      </c>
      <c r="C34" s="27" t="s">
        <v>155</v>
      </c>
      <c r="D34" s="27">
        <f>'PARAMETROS DA CONTRATAÇÃO'!Y53</f>
        <v>226129</v>
      </c>
      <c r="E34" s="51">
        <f t="shared" si="10"/>
        <v>0</v>
      </c>
      <c r="F34" s="386">
        <v>0</v>
      </c>
      <c r="G34" s="29">
        <f>'PARAMETROS DA CONTRATAÇÃO'!Z53</f>
        <v>12</v>
      </c>
      <c r="H34" s="29">
        <f t="shared" si="11"/>
        <v>0</v>
      </c>
      <c r="I34" s="29">
        <f t="shared" si="12"/>
        <v>0</v>
      </c>
      <c r="K34" s="193"/>
    </row>
    <row r="35" spans="1:11" s="196" customFormat="1" ht="48" customHeight="1">
      <c r="A35" s="27">
        <v>22</v>
      </c>
      <c r="B35" s="194" t="str">
        <f>'PARAMETROS DA CONTRATAÇÃO'!X54</f>
        <v>Vassoura tipo gari 60cm cepa plástica, com cabo</v>
      </c>
      <c r="C35" s="27" t="s">
        <v>155</v>
      </c>
      <c r="D35" s="27">
        <f>'PARAMETROS DA CONTRATAÇÃO'!Y54</f>
        <v>438600</v>
      </c>
      <c r="E35" s="51">
        <f t="shared" si="7"/>
        <v>1.1666666666666667</v>
      </c>
      <c r="F35" s="386">
        <v>14</v>
      </c>
      <c r="G35" s="29">
        <f>'PARAMETROS DA CONTRATAÇÃO'!Z54</f>
        <v>12</v>
      </c>
      <c r="H35" s="29">
        <f t="shared" si="8"/>
        <v>14</v>
      </c>
      <c r="I35" s="29">
        <f t="shared" si="9"/>
        <v>168</v>
      </c>
      <c r="K35" s="193" t="s">
        <v>704</v>
      </c>
    </row>
    <row r="36" spans="1:11" s="196" customFormat="1" ht="48" customHeight="1">
      <c r="A36" s="27">
        <v>23</v>
      </c>
      <c r="B36" s="194" t="str">
        <f>'PARAMETROS DA CONTRATAÇÃO'!X55</f>
        <v>Tesoura de poda para uso geral de 35cm</v>
      </c>
      <c r="C36" s="27" t="s">
        <v>701</v>
      </c>
      <c r="D36" s="27">
        <f>'PARAMETROS DA CONTRATAÇÃO'!Y55</f>
        <v>317622</v>
      </c>
      <c r="E36" s="51">
        <f t="shared" si="7"/>
        <v>0</v>
      </c>
      <c r="F36" s="384">
        <v>0</v>
      </c>
      <c r="G36" s="29">
        <f>'PARAMETROS DA CONTRATAÇÃO'!Z55</f>
        <v>19.5</v>
      </c>
      <c r="H36" s="29">
        <f t="shared" si="8"/>
        <v>0</v>
      </c>
      <c r="I36" s="29">
        <f t="shared" si="9"/>
        <v>0</v>
      </c>
      <c r="K36" s="193"/>
    </row>
    <row r="37" spans="1:11" s="196" customFormat="1" ht="48" customHeight="1">
      <c r="A37" s="27">
        <v>24</v>
      </c>
      <c r="B37" s="194" t="str">
        <f>'PARAMETROS DA CONTRATAÇÃO'!X56</f>
        <v>Tesoura de Poda, Tesoura Jardinagem, 50 cm, Cabo Madeira Composição Metal e madeira</v>
      </c>
      <c r="C37" s="27" t="s">
        <v>701</v>
      </c>
      <c r="D37" s="27">
        <f>'PARAMETROS DA CONTRATAÇÃO'!Y56</f>
        <v>252759</v>
      </c>
      <c r="E37" s="51">
        <f t="shared" si="7"/>
        <v>0</v>
      </c>
      <c r="F37" s="384">
        <v>0</v>
      </c>
      <c r="G37" s="29">
        <f>'PARAMETROS DA CONTRATAÇÃO'!Z56</f>
        <v>19</v>
      </c>
      <c r="H37" s="29">
        <f t="shared" si="8"/>
        <v>0</v>
      </c>
      <c r="I37" s="29">
        <f t="shared" si="9"/>
        <v>0</v>
      </c>
      <c r="K37" s="193"/>
    </row>
    <row r="38" spans="1:11" s="196" customFormat="1" ht="48" customHeight="1">
      <c r="A38" s="27">
        <v>25</v>
      </c>
      <c r="B38" s="194" t="str">
        <f>'PARAMETROS DA CONTRATAÇÃO'!X57</f>
        <v>Vassoura De Ancinho Plástica Com Cabo</v>
      </c>
      <c r="C38" s="27" t="s">
        <v>701</v>
      </c>
      <c r="D38" s="27">
        <f>'PARAMETROS DA CONTRATAÇÃO'!Y57</f>
        <v>417310</v>
      </c>
      <c r="E38" s="51">
        <f t="shared" si="7"/>
        <v>0</v>
      </c>
      <c r="F38" s="384">
        <v>0</v>
      </c>
      <c r="G38" s="29">
        <f>'PARAMETROS DA CONTRATAÇÃO'!Z57</f>
        <v>18.75</v>
      </c>
      <c r="H38" s="29">
        <f t="shared" si="8"/>
        <v>0</v>
      </c>
      <c r="I38" s="29">
        <f t="shared" si="9"/>
        <v>0</v>
      </c>
      <c r="K38" s="193"/>
    </row>
    <row r="39" spans="1:11" s="196" customFormat="1" ht="48" customHeight="1">
      <c r="A39" s="27">
        <v>26</v>
      </c>
      <c r="B39" s="194" t="str">
        <f>'PARAMETROS DA CONTRATAÇÃO'!X58</f>
        <v>Vassoura de canto</v>
      </c>
      <c r="C39" s="27" t="s">
        <v>701</v>
      </c>
      <c r="D39" s="27">
        <f>'PARAMETROS DA CONTRATAÇÃO'!Y58</f>
        <v>476381</v>
      </c>
      <c r="E39" s="51">
        <f t="shared" ref="E39:E44" si="13">F39/12</f>
        <v>0</v>
      </c>
      <c r="F39" s="384">
        <v>0</v>
      </c>
      <c r="G39" s="29">
        <f>'PARAMETROS DA CONTRATAÇÃO'!Z58</f>
        <v>12</v>
      </c>
      <c r="H39" s="29">
        <f t="shared" ref="H39:H44" si="14">ROUND(E39*G39,2)</f>
        <v>0</v>
      </c>
      <c r="I39" s="29">
        <f t="shared" ref="I39:I44" si="15">ROUND(F39*G39,2)</f>
        <v>0</v>
      </c>
      <c r="K39" s="193"/>
    </row>
    <row r="40" spans="1:11" s="196" customFormat="1" ht="48" customHeight="1">
      <c r="A40" s="27">
        <v>27</v>
      </c>
      <c r="B40" s="194" t="str">
        <f>'PARAMETROS DA CONTRATAÇÃO'!X59</f>
        <v>Vassoura de Piaçava de 40cm</v>
      </c>
      <c r="C40" s="27" t="s">
        <v>701</v>
      </c>
      <c r="D40" s="27">
        <f>'PARAMETROS DA CONTRATAÇÃO'!Y59</f>
        <v>318938</v>
      </c>
      <c r="E40" s="51">
        <f t="shared" si="13"/>
        <v>0</v>
      </c>
      <c r="F40" s="384">
        <v>0</v>
      </c>
      <c r="G40" s="29">
        <f>'PARAMETROS DA CONTRATAÇÃO'!Z59</f>
        <v>12</v>
      </c>
      <c r="H40" s="29">
        <f t="shared" si="14"/>
        <v>0</v>
      </c>
      <c r="I40" s="29">
        <f t="shared" si="15"/>
        <v>0</v>
      </c>
      <c r="K40" s="193"/>
    </row>
    <row r="41" spans="1:11" s="196" customFormat="1" ht="48" customHeight="1">
      <c r="A41" s="27">
        <v>28</v>
      </c>
      <c r="B41" s="194" t="str">
        <f>'PARAMETROS DA CONTRATAÇÃO'!X60</f>
        <v>Vassoura de Piaçava de 60cm</v>
      </c>
      <c r="C41" s="27" t="s">
        <v>701</v>
      </c>
      <c r="D41" s="27">
        <f>'PARAMETROS DA CONTRATAÇÃO'!Y60</f>
        <v>363532</v>
      </c>
      <c r="E41" s="51">
        <f t="shared" si="13"/>
        <v>0</v>
      </c>
      <c r="F41" s="384">
        <v>0</v>
      </c>
      <c r="G41" s="29">
        <f>'PARAMETROS DA CONTRATAÇÃO'!Z60</f>
        <v>12</v>
      </c>
      <c r="H41" s="29">
        <f t="shared" si="14"/>
        <v>0</v>
      </c>
      <c r="I41" s="29">
        <f t="shared" si="15"/>
        <v>0</v>
      </c>
      <c r="K41" s="193"/>
    </row>
    <row r="42" spans="1:11" s="196" customFormat="1" ht="48" customHeight="1">
      <c r="A42" s="27">
        <v>29</v>
      </c>
      <c r="B42" s="194" t="str">
        <f>'PARAMETROS DA CONTRATAÇÃO'!X61</f>
        <v>Vassoura escovão com cabo de 60cm</v>
      </c>
      <c r="C42" s="27" t="s">
        <v>701</v>
      </c>
      <c r="D42" s="27">
        <f>'PARAMETROS DA CONTRATAÇÃO'!Y61</f>
        <v>327917</v>
      </c>
      <c r="E42" s="51">
        <f t="shared" si="13"/>
        <v>0</v>
      </c>
      <c r="F42" s="384">
        <v>0</v>
      </c>
      <c r="G42" s="29">
        <f>'PARAMETROS DA CONTRATAÇÃO'!Z61</f>
        <v>19</v>
      </c>
      <c r="H42" s="29">
        <f t="shared" si="14"/>
        <v>0</v>
      </c>
      <c r="I42" s="29">
        <f t="shared" si="15"/>
        <v>0</v>
      </c>
      <c r="K42" s="193"/>
    </row>
    <row r="43" spans="1:11" s="196" customFormat="1" ht="48" customHeight="1">
      <c r="A43" s="27">
        <v>30</v>
      </c>
      <c r="B43" s="194" t="str">
        <f>'PARAMETROS DA CONTRATAÇÃO'!X62</f>
        <v>Vassoura para jardim 22 dentes com cabo, palheta regulado com aço temperado</v>
      </c>
      <c r="C43" s="27" t="s">
        <v>701</v>
      </c>
      <c r="D43" s="27">
        <f>'PARAMETROS DA CONTRATAÇÃO'!Y62</f>
        <v>412574</v>
      </c>
      <c r="E43" s="51">
        <f t="shared" si="13"/>
        <v>0</v>
      </c>
      <c r="F43" s="384">
        <v>0</v>
      </c>
      <c r="G43" s="29">
        <f>'PARAMETROS DA CONTRATAÇÃO'!Z62</f>
        <v>22</v>
      </c>
      <c r="H43" s="29">
        <f t="shared" si="14"/>
        <v>0</v>
      </c>
      <c r="I43" s="29">
        <f t="shared" si="15"/>
        <v>0</v>
      </c>
      <c r="K43" s="193"/>
    </row>
    <row r="44" spans="1:11" s="196" customFormat="1" ht="48" customHeight="1">
      <c r="A44" s="27">
        <v>31</v>
      </c>
      <c r="B44" s="194" t="str">
        <f>'PARAMETROS DA CONTRATAÇÃO'!X63</f>
        <v>Vassoura Poliester 40cm</v>
      </c>
      <c r="C44" s="27" t="s">
        <v>701</v>
      </c>
      <c r="D44" s="27">
        <f>'PARAMETROS DA CONTRATAÇÃO'!Y63</f>
        <v>300323</v>
      </c>
      <c r="E44" s="51">
        <f t="shared" si="13"/>
        <v>0</v>
      </c>
      <c r="F44" s="384">
        <v>0</v>
      </c>
      <c r="G44" s="29">
        <f>'PARAMETROS DA CONTRATAÇÃO'!Z63</f>
        <v>12</v>
      </c>
      <c r="H44" s="29">
        <f t="shared" si="14"/>
        <v>0</v>
      </c>
      <c r="I44" s="29">
        <f t="shared" si="15"/>
        <v>0</v>
      </c>
      <c r="K44" s="193"/>
    </row>
    <row r="45" spans="1:11" s="196" customFormat="1" ht="48" customHeight="1">
      <c r="A45" s="27">
        <v>32</v>
      </c>
      <c r="B45" s="194" t="str">
        <f>'PARAMETROS DA CONTRATAÇÃO'!X64</f>
        <v>Cesto de Lixo em material plástico, capacidade 10 litros, SEM tampa</v>
      </c>
      <c r="C45" s="27" t="s">
        <v>155</v>
      </c>
      <c r="D45" s="27">
        <f>'PARAMETROS DA CONTRATAÇÃO'!Y64</f>
        <v>239916</v>
      </c>
      <c r="E45" s="51">
        <f t="shared" ref="E45:E55" si="16">F45/12</f>
        <v>0.83333333333333337</v>
      </c>
      <c r="F45" s="384">
        <v>10</v>
      </c>
      <c r="G45" s="29">
        <f>'PARAMETROS DA CONTRATAÇÃO'!Z64</f>
        <v>6</v>
      </c>
      <c r="H45" s="29">
        <f t="shared" ref="H45:H55" si="17">ROUND(E45*G45,2)</f>
        <v>5</v>
      </c>
      <c r="I45" s="29">
        <f t="shared" ref="I45:I55" si="18">ROUND(F45*G45,2)</f>
        <v>60</v>
      </c>
      <c r="K45" s="193"/>
    </row>
    <row r="46" spans="1:11" s="196" customFormat="1" ht="48" customHeight="1">
      <c r="A46" s="27">
        <v>33</v>
      </c>
      <c r="B46" s="194" t="str">
        <f>'PARAMETROS DA CONTRATAÇÃO'!X65</f>
        <v>Cesto de Lixo em material plástico, capacidade 60 litros, COM tampa</v>
      </c>
      <c r="C46" s="27" t="s">
        <v>155</v>
      </c>
      <c r="D46" s="27">
        <f>'PARAMETROS DA CONTRATAÇÃO'!Y65</f>
        <v>252697</v>
      </c>
      <c r="E46" s="51">
        <f t="shared" ref="E46:E49" si="19">F46/12</f>
        <v>0.83333333333333337</v>
      </c>
      <c r="F46" s="384">
        <v>10</v>
      </c>
      <c r="G46" s="29">
        <f>'PARAMETROS DA CONTRATAÇÃO'!Z65</f>
        <v>9.5</v>
      </c>
      <c r="H46" s="29">
        <f t="shared" ref="H46:H49" si="20">ROUND(E46*G46,2)</f>
        <v>7.92</v>
      </c>
      <c r="I46" s="29">
        <f t="shared" ref="I46:I49" si="21">ROUND(F46*G46,2)</f>
        <v>95</v>
      </c>
      <c r="K46" s="193"/>
    </row>
    <row r="47" spans="1:11" s="196" customFormat="1" ht="48" customHeight="1">
      <c r="A47" s="27">
        <v>34</v>
      </c>
      <c r="B47" s="194" t="str">
        <f>'PARAMETROS DA CONTRATAÇÃO'!X66</f>
        <v>Cesto de lixo para coleta seletiva de 50 litros- jogo com 4 unidades com suporte</v>
      </c>
      <c r="C47" s="27" t="s">
        <v>702</v>
      </c>
      <c r="D47" s="27">
        <f>'PARAMETROS DA CONTRATAÇÃO'!Y66</f>
        <v>409684</v>
      </c>
      <c r="E47" s="51">
        <f t="shared" si="19"/>
        <v>0</v>
      </c>
      <c r="F47" s="384">
        <v>0</v>
      </c>
      <c r="G47" s="29">
        <f>'PARAMETROS DA CONTRATAÇÃO'!Z66</f>
        <v>12</v>
      </c>
      <c r="H47" s="29">
        <f t="shared" si="20"/>
        <v>0</v>
      </c>
      <c r="I47" s="29">
        <f t="shared" si="21"/>
        <v>0</v>
      </c>
      <c r="K47" s="193"/>
    </row>
    <row r="48" spans="1:11" s="196" customFormat="1" ht="48" customHeight="1">
      <c r="A48" s="27">
        <v>35</v>
      </c>
      <c r="B48" s="194" t="str">
        <f>'PARAMETROS DA CONTRATAÇÃO'!X67</f>
        <v xml:space="preserve">Contentor de lixo de 120 litros com rodas </v>
      </c>
      <c r="C48" s="27" t="s">
        <v>701</v>
      </c>
      <c r="D48" s="27">
        <f>'PARAMETROS DA CONTRATAÇÃO'!Y67</f>
        <v>361154</v>
      </c>
      <c r="E48" s="51">
        <f t="shared" si="19"/>
        <v>0</v>
      </c>
      <c r="F48" s="384">
        <v>0</v>
      </c>
      <c r="G48" s="29">
        <f>'PARAMETROS DA CONTRATAÇÃO'!Z67</f>
        <v>150</v>
      </c>
      <c r="H48" s="29">
        <f t="shared" si="20"/>
        <v>0</v>
      </c>
      <c r="I48" s="29">
        <f t="shared" si="21"/>
        <v>0</v>
      </c>
      <c r="K48" s="193"/>
    </row>
    <row r="49" spans="1:13" s="196" customFormat="1" ht="48" customHeight="1">
      <c r="A49" s="27">
        <v>36</v>
      </c>
      <c r="B49" s="194" t="str">
        <f>'PARAMETROS DA CONTRATAÇÃO'!X68</f>
        <v>Mangueira Jardim Flex com Engates, possui 3 camadas em PVC.30 metros</v>
      </c>
      <c r="C49" s="27" t="s">
        <v>701</v>
      </c>
      <c r="D49" s="27">
        <f>'PARAMETROS DA CONTRATAÇÃO'!Y68</f>
        <v>7447</v>
      </c>
      <c r="E49" s="51">
        <f t="shared" si="19"/>
        <v>0</v>
      </c>
      <c r="F49" s="384">
        <v>0</v>
      </c>
      <c r="G49" s="29">
        <f>'PARAMETROS DA CONTRATAÇÃO'!Z68</f>
        <v>75</v>
      </c>
      <c r="H49" s="29">
        <f t="shared" si="20"/>
        <v>0</v>
      </c>
      <c r="I49" s="29">
        <f t="shared" si="21"/>
        <v>0</v>
      </c>
      <c r="K49" s="193"/>
    </row>
    <row r="50" spans="1:13" s="196" customFormat="1" ht="48" customHeight="1">
      <c r="A50" s="27">
        <v>37</v>
      </c>
      <c r="B50" s="194" t="str">
        <f>'PARAMETROS DA CONTRATAÇÃO'!X69</f>
        <v>Mangueira para jardim 50m</v>
      </c>
      <c r="C50" s="27" t="s">
        <v>701</v>
      </c>
      <c r="D50" s="27">
        <f>'PARAMETROS DA CONTRATAÇÃO'!Y69</f>
        <v>455723</v>
      </c>
      <c r="E50" s="51">
        <f t="shared" si="16"/>
        <v>0</v>
      </c>
      <c r="F50" s="384">
        <v>0</v>
      </c>
      <c r="G50" s="29">
        <f>'PARAMETROS DA CONTRATAÇÃO'!Z69</f>
        <v>85</v>
      </c>
      <c r="H50" s="29">
        <f t="shared" si="17"/>
        <v>0</v>
      </c>
      <c r="I50" s="29">
        <f t="shared" si="18"/>
        <v>0</v>
      </c>
      <c r="K50" s="193"/>
    </row>
    <row r="51" spans="1:13" s="196" customFormat="1" ht="48" customHeight="1">
      <c r="A51" s="27">
        <v>38</v>
      </c>
      <c r="B51" s="194" t="str">
        <f>'PARAMETROS DA CONTRATAÇÃO'!X70</f>
        <v>Pá de lixo cabo baixo</v>
      </c>
      <c r="C51" s="27" t="s">
        <v>701</v>
      </c>
      <c r="D51" s="27">
        <f>'PARAMETROS DA CONTRATAÇÃO'!Y70</f>
        <v>337806</v>
      </c>
      <c r="E51" s="51">
        <f t="shared" si="16"/>
        <v>0</v>
      </c>
      <c r="F51" s="384">
        <v>0</v>
      </c>
      <c r="G51" s="29">
        <f>'PARAMETROS DA CONTRATAÇÃO'!Z70</f>
        <v>12</v>
      </c>
      <c r="H51" s="29">
        <f t="shared" si="17"/>
        <v>0</v>
      </c>
      <c r="I51" s="29">
        <f t="shared" si="18"/>
        <v>0</v>
      </c>
      <c r="K51" s="193"/>
    </row>
    <row r="52" spans="1:13" s="196" customFormat="1" ht="48" customHeight="1">
      <c r="A52" s="27">
        <v>39</v>
      </c>
      <c r="B52" s="194" t="str">
        <f>'PARAMETROS DA CONTRATAÇÃO'!X71</f>
        <v>Pá de lixo com cabo</v>
      </c>
      <c r="C52" s="27" t="s">
        <v>701</v>
      </c>
      <c r="D52" s="27">
        <f>'PARAMETROS DA CONTRATAÇÃO'!Y71</f>
        <v>338696</v>
      </c>
      <c r="E52" s="51">
        <f t="shared" si="16"/>
        <v>0</v>
      </c>
      <c r="F52" s="384">
        <v>0</v>
      </c>
      <c r="G52" s="29">
        <f>'PARAMETROS DA CONTRATAÇÃO'!Z71</f>
        <v>12</v>
      </c>
      <c r="H52" s="29">
        <f t="shared" si="17"/>
        <v>0</v>
      </c>
      <c r="I52" s="29">
        <f t="shared" si="18"/>
        <v>0</v>
      </c>
      <c r="K52" s="193"/>
    </row>
    <row r="53" spans="1:13" s="196" customFormat="1" ht="48" customHeight="1">
      <c r="A53" s="27">
        <v>40</v>
      </c>
      <c r="B53" s="194" t="str">
        <f>'PARAMETROS DA CONTRATAÇÃO'!X72</f>
        <v>Lixeira Basculante de 60 litros (Alt 91 cm x Larg 1,49cm x Profund 37 cm) c/ Tampa vai-e-vem. Cor AMARELA</v>
      </c>
      <c r="C53" s="27" t="s">
        <v>155</v>
      </c>
      <c r="D53" s="27">
        <f>'PARAMETROS DA CONTRATAÇÃO'!Y72</f>
        <v>442845</v>
      </c>
      <c r="E53" s="51">
        <f t="shared" si="16"/>
        <v>0</v>
      </c>
      <c r="F53" s="384">
        <v>0</v>
      </c>
      <c r="G53" s="29">
        <f>'PARAMETROS DA CONTRATAÇÃO'!Z72</f>
        <v>45</v>
      </c>
      <c r="H53" s="29">
        <f t="shared" si="17"/>
        <v>0</v>
      </c>
      <c r="I53" s="29">
        <f t="shared" si="18"/>
        <v>0</v>
      </c>
      <c r="K53" s="193"/>
    </row>
    <row r="54" spans="1:13" s="196" customFormat="1" ht="48" customHeight="1">
      <c r="A54" s="27">
        <v>41</v>
      </c>
      <c r="B54" s="194" t="str">
        <f>'PARAMETROS DA CONTRATAÇÃO'!X73</f>
        <v>Lixeira Basculante de 60 litros (Alt 91 cm x Larg 1,49cm x Profund 37 cm) c/ Tampa vai-e-vem. Cor AZUL</v>
      </c>
      <c r="C54" s="27" t="s">
        <v>155</v>
      </c>
      <c r="D54" s="27">
        <f>'PARAMETROS DA CONTRATAÇÃO'!Y73</f>
        <v>442841</v>
      </c>
      <c r="E54" s="51">
        <f t="shared" si="16"/>
        <v>0</v>
      </c>
      <c r="F54" s="384">
        <v>0</v>
      </c>
      <c r="G54" s="29">
        <f>'PARAMETROS DA CONTRATAÇÃO'!Z73</f>
        <v>45</v>
      </c>
      <c r="H54" s="29">
        <f t="shared" si="17"/>
        <v>0</v>
      </c>
      <c r="I54" s="29">
        <f t="shared" si="18"/>
        <v>0</v>
      </c>
      <c r="K54" s="193"/>
    </row>
    <row r="55" spans="1:13" s="196" customFormat="1" ht="48" customHeight="1">
      <c r="A55" s="27">
        <v>42</v>
      </c>
      <c r="B55" s="194" t="str">
        <f>'PARAMETROS DA CONTRATAÇÃO'!X74</f>
        <v>Lixeira Basculante de 60 litros (Alt 91 cm x Larg 1,49cm x Profund 37 cm) c/ Tampa vai-e-vem. Cor BRANCA</v>
      </c>
      <c r="C55" s="27" t="s">
        <v>155</v>
      </c>
      <c r="D55" s="27">
        <f>'PARAMETROS DA CONTRATAÇÃO'!Y74</f>
        <v>442844</v>
      </c>
      <c r="E55" s="51">
        <f t="shared" si="16"/>
        <v>0</v>
      </c>
      <c r="F55" s="384">
        <v>0</v>
      </c>
      <c r="G55" s="29">
        <f>'PARAMETROS DA CONTRATAÇÃO'!Z74</f>
        <v>45</v>
      </c>
      <c r="H55" s="29">
        <f t="shared" si="17"/>
        <v>0</v>
      </c>
      <c r="I55" s="29">
        <f t="shared" si="18"/>
        <v>0</v>
      </c>
      <c r="K55" s="193"/>
    </row>
    <row r="56" spans="1:13" s="192" customFormat="1" ht="48" customHeight="1">
      <c r="A56" s="27">
        <v>43</v>
      </c>
      <c r="B56" s="194" t="str">
        <f>'PARAMETROS DA CONTRATAÇÃO'!X75</f>
        <v>Lixeira Basculante de 60 litros (Alt 91 cm x Larg 1,49cm x Profund 37 cm) c/ Tampa vai-e-vem. Cor MARROM</v>
      </c>
      <c r="C56" s="27" t="s">
        <v>155</v>
      </c>
      <c r="D56" s="27">
        <f>'PARAMETROS DA CONTRATAÇÃO'!Y75</f>
        <v>442843</v>
      </c>
      <c r="E56" s="51">
        <f t="shared" si="4"/>
        <v>0</v>
      </c>
      <c r="F56" s="384">
        <v>0</v>
      </c>
      <c r="G56" s="29">
        <f>'PARAMETROS DA CONTRATAÇÃO'!Z75</f>
        <v>45</v>
      </c>
      <c r="H56" s="29">
        <f t="shared" si="5"/>
        <v>0</v>
      </c>
      <c r="I56" s="29">
        <f t="shared" si="6"/>
        <v>0</v>
      </c>
      <c r="K56" s="193"/>
    </row>
    <row r="57" spans="1:13" s="192" customFormat="1" ht="48" customHeight="1">
      <c r="A57" s="27">
        <v>44</v>
      </c>
      <c r="B57" s="194" t="str">
        <f>'PARAMETROS DA CONTRATAÇÃO'!X76</f>
        <v>Lixeira Basculante de 60 litros (Alt 91 cm x Larg 1,49cm x Profund 37 cm) c/ Tampa vai-e-vem. Cor VERDE</v>
      </c>
      <c r="C57" s="27" t="s">
        <v>155</v>
      </c>
      <c r="D57" s="27">
        <f>'PARAMETROS DA CONTRATAÇÃO'!Y76</f>
        <v>442842</v>
      </c>
      <c r="E57" s="51">
        <f t="shared" si="4"/>
        <v>0</v>
      </c>
      <c r="F57" s="384">
        <v>0</v>
      </c>
      <c r="G57" s="29">
        <f>'PARAMETROS DA CONTRATAÇÃO'!Z76</f>
        <v>45</v>
      </c>
      <c r="H57" s="29">
        <f t="shared" si="5"/>
        <v>0</v>
      </c>
      <c r="I57" s="29">
        <f t="shared" si="6"/>
        <v>0</v>
      </c>
      <c r="K57" s="193"/>
    </row>
    <row r="58" spans="1:13" s="192" customFormat="1" ht="48" customHeight="1">
      <c r="A58" s="27">
        <v>45</v>
      </c>
      <c r="B58" s="194" t="str">
        <f>'PARAMETROS DA CONTRATAÇÃO'!X77</f>
        <v>Lixeira Basculante de 60 litros (Alt 91 cm x Larg 1,49cm x Profund 37 cm) c/ Tampa vai-e-vem. Cor VERMELHA</v>
      </c>
      <c r="C58" s="27" t="s">
        <v>155</v>
      </c>
      <c r="D58" s="27">
        <f>'PARAMETROS DA CONTRATAÇÃO'!Y77</f>
        <v>442846</v>
      </c>
      <c r="E58" s="51">
        <f t="shared" si="4"/>
        <v>0</v>
      </c>
      <c r="F58" s="384">
        <v>0</v>
      </c>
      <c r="G58" s="29">
        <f>'PARAMETROS DA CONTRATAÇÃO'!Z77</f>
        <v>45</v>
      </c>
      <c r="H58" s="29">
        <f t="shared" si="5"/>
        <v>0</v>
      </c>
      <c r="I58" s="29">
        <f t="shared" si="6"/>
        <v>0</v>
      </c>
      <c r="K58" s="193"/>
    </row>
    <row r="59" spans="1:13" ht="68.25" customHeight="1">
      <c r="A59" s="27">
        <v>46</v>
      </c>
      <c r="B59" s="194" t="str">
        <f>'PARAMETROS DA CONTRATAÇÃO'!X78</f>
        <v>Ancinho para jardim 40cm</v>
      </c>
      <c r="C59" s="27" t="s">
        <v>701</v>
      </c>
      <c r="D59" s="27">
        <f>'PARAMETROS DA CONTRATAÇÃO'!Y78</f>
        <v>8397</v>
      </c>
      <c r="E59" s="51">
        <f t="shared" si="4"/>
        <v>0</v>
      </c>
      <c r="F59" s="384">
        <v>0</v>
      </c>
      <c r="G59" s="29">
        <f>'PARAMETROS DA CONTRATAÇÃO'!Z78</f>
        <v>16</v>
      </c>
      <c r="H59" s="29">
        <f t="shared" si="2"/>
        <v>0</v>
      </c>
      <c r="I59" s="29">
        <f t="shared" si="3"/>
        <v>0</v>
      </c>
    </row>
    <row r="60" spans="1:13" ht="33" customHeight="1">
      <c r="A60" s="52" t="s">
        <v>433</v>
      </c>
      <c r="B60" s="27"/>
      <c r="C60" s="27"/>
      <c r="D60" s="27"/>
      <c r="E60" s="51">
        <f>SUBTOTAL(109,Tabela36[QTDE. MENSAL])</f>
        <v>15.416666666666668</v>
      </c>
      <c r="F60" s="51">
        <f>SUBTOTAL(109,Tabela36[QTDE. ANUAL])</f>
        <v>185</v>
      </c>
      <c r="G60" s="53">
        <f>SUBTOTAL(109,Tabela36[PREÇO UNITÁRIO (R$)])</f>
        <v>1391.25</v>
      </c>
      <c r="H60" s="53">
        <f>SUBTOTAL(109,Tabela36[CUSTO MENSAL (R$)])</f>
        <v>229.92</v>
      </c>
      <c r="I60" s="53">
        <f>SUBTOTAL(109,Tabela36[CUSTO ANUAL (R$)])</f>
        <v>2759</v>
      </c>
    </row>
    <row r="61" spans="1:13" ht="33" customHeight="1">
      <c r="A61" s="54" t="s">
        <v>435</v>
      </c>
      <c r="B61" s="28"/>
      <c r="C61" s="28"/>
      <c r="D61" s="28"/>
      <c r="E61" s="55"/>
      <c r="F61" s="55"/>
      <c r="G61" s="56"/>
      <c r="H61" s="57">
        <f>'VERIFICAÇÃO DO DESEQUILÍBRIO'!C18</f>
        <v>6.0002919299881405</v>
      </c>
      <c r="I61" s="57">
        <f>'VERIFICAÇÃO DO DESEQUILÍBRIO'!C18</f>
        <v>6.0002919299881405</v>
      </c>
    </row>
    <row r="62" spans="1:13" ht="33" customHeight="1" thickBot="1">
      <c r="A62" s="58" t="s">
        <v>434</v>
      </c>
      <c r="B62" s="59"/>
      <c r="C62" s="59"/>
      <c r="D62" s="59"/>
      <c r="E62" s="60"/>
      <c r="F62" s="60"/>
      <c r="G62" s="61"/>
      <c r="H62" s="62">
        <f>Tabela36[[#Totals],[CUSTO MENSAL (R$)]]/H61</f>
        <v>38.3181356311866</v>
      </c>
      <c r="I62" s="62">
        <f>Tabela36[[#Totals],[CUSTO ANUAL (R$)]]/I61</f>
        <v>459.81096123192344</v>
      </c>
    </row>
    <row r="63" spans="1:13" ht="33" customHeight="1" thickTop="1">
      <c r="A63" s="52"/>
      <c r="B63" s="27"/>
      <c r="C63" s="27"/>
      <c r="D63" s="27"/>
      <c r="E63" s="51"/>
      <c r="F63" s="51"/>
      <c r="G63" s="29"/>
      <c r="H63" s="29"/>
      <c r="I63" s="29"/>
    </row>
    <row r="64" spans="1:13" ht="50.25" customHeight="1">
      <c r="A64" s="25"/>
      <c r="B64" s="25"/>
      <c r="C64" s="25"/>
      <c r="D64" s="63"/>
      <c r="E64" s="25"/>
      <c r="F64" s="24"/>
      <c r="G64" s="24"/>
      <c r="H64" s="24"/>
      <c r="I64" s="24"/>
      <c r="M64" s="64"/>
    </row>
    <row r="65" spans="1:10" ht="33" customHeight="1">
      <c r="A65" s="484" t="s">
        <v>167</v>
      </c>
      <c r="B65" s="484"/>
      <c r="C65" s="484"/>
      <c r="D65" s="484"/>
      <c r="E65" s="484"/>
      <c r="F65" s="484"/>
      <c r="G65" s="484"/>
      <c r="H65" s="484"/>
      <c r="I65" s="484"/>
      <c r="J65" s="484"/>
    </row>
    <row r="66" spans="1:10" ht="33" customHeight="1">
      <c r="A66" s="65" t="s">
        <v>93</v>
      </c>
      <c r="B66" s="65" t="s">
        <v>185</v>
      </c>
      <c r="C66" s="66" t="s">
        <v>157</v>
      </c>
      <c r="D66" s="66" t="s">
        <v>166</v>
      </c>
      <c r="E66" s="387" t="s">
        <v>705</v>
      </c>
      <c r="F66" s="66" t="s">
        <v>158</v>
      </c>
      <c r="G66" s="66" t="s">
        <v>437</v>
      </c>
      <c r="H66" s="66" t="s">
        <v>162</v>
      </c>
      <c r="I66" s="66" t="s">
        <v>159</v>
      </c>
      <c r="J66" s="66" t="s">
        <v>160</v>
      </c>
    </row>
    <row r="67" spans="1:10" ht="33" customHeight="1">
      <c r="A67" s="33">
        <v>1</v>
      </c>
      <c r="B67" s="195" t="str">
        <f>'PARAMETROS DA CONTRATAÇÃO'!X16</f>
        <v>Aspirador de pó e água, tipo semi-profissional</v>
      </c>
      <c r="C67" s="31">
        <f>'PARAMETROS DA CONTRATAÇÃO'!Y16</f>
        <v>302248</v>
      </c>
      <c r="D67" s="31">
        <v>60</v>
      </c>
      <c r="E67" s="388">
        <v>1</v>
      </c>
      <c r="F67" s="67">
        <f>'PARAMETROS DA CONTRATAÇÃO'!Z16</f>
        <v>240</v>
      </c>
      <c r="G67" s="68">
        <v>0.1</v>
      </c>
      <c r="H67" s="67">
        <f>(Tabela37[[#This Row],[QUANTIDADE ITEM]]*Tabela37[[#This Row],[PREÇO MEDIO UNITÁRIO]])-((Tabela37[[#This Row],[PREÇO MEDIO UNITÁRIO]]*Tabela37[[#This Row],[QUANTIDADE ITEM]])*10%)</f>
        <v>216</v>
      </c>
      <c r="I67" s="67">
        <f t="shared" ref="I67:I80" si="22">H67/D67</f>
        <v>3.6</v>
      </c>
      <c r="J67" s="67">
        <f>I67*12</f>
        <v>43.2</v>
      </c>
    </row>
    <row r="68" spans="1:10" ht="33" customHeight="1">
      <c r="A68" s="33">
        <v>2</v>
      </c>
      <c r="B68" s="195" t="str">
        <f>'PARAMETROS DA CONTRATAÇÃO'!X17</f>
        <v>Carrinho Plataforma</v>
      </c>
      <c r="C68" s="31">
        <f>'PARAMETROS DA CONTRATAÇÃO'!Y17</f>
        <v>225280</v>
      </c>
      <c r="D68" s="31">
        <v>60</v>
      </c>
      <c r="E68" s="388">
        <v>2</v>
      </c>
      <c r="F68" s="67">
        <f>'PARAMETROS DA CONTRATAÇÃO'!Z17</f>
        <v>350</v>
      </c>
      <c r="G68" s="68">
        <v>0.1</v>
      </c>
      <c r="H68" s="67">
        <f>(Tabela37[[#This Row],[QUANTIDADE ITEM]]*Tabela37[[#This Row],[PREÇO MEDIO UNITÁRIO]])-((Tabela37[[#This Row],[PREÇO MEDIO UNITÁRIO]]*Tabela37[[#This Row],[QUANTIDADE ITEM]])*10%)</f>
        <v>630</v>
      </c>
      <c r="I68" s="67">
        <f t="shared" si="22"/>
        <v>10.5</v>
      </c>
      <c r="J68" s="67">
        <f>I68*12</f>
        <v>126</v>
      </c>
    </row>
    <row r="69" spans="1:10" s="192" customFormat="1" ht="33" customHeight="1">
      <c r="A69" s="33">
        <v>3</v>
      </c>
      <c r="B69" s="195" t="str">
        <f>'PARAMETROS DA CONTRATAÇÃO'!X18</f>
        <v>Lavadora/Enceradeira Industrial completa com acessórios (escova para limpeza, base suporte com velcro, Discos de Piso para Limpeza)</v>
      </c>
      <c r="C69" s="31">
        <f>'PARAMETROS DA CONTRATAÇÃO'!Y18</f>
        <v>30163</v>
      </c>
      <c r="D69" s="31">
        <v>60</v>
      </c>
      <c r="E69" s="388">
        <v>0</v>
      </c>
      <c r="F69" s="67">
        <f>'PARAMETROS DA CONTRATAÇÃO'!Z18</f>
        <v>1200</v>
      </c>
      <c r="G69" s="68">
        <v>0.1</v>
      </c>
      <c r="H69" s="67">
        <f>(Tabela37[[#This Row],[QUANTIDADE ITEM]]*Tabela37[[#This Row],[PREÇO MEDIO UNITÁRIO]])-((Tabela37[[#This Row],[PREÇO MEDIO UNITÁRIO]]*Tabela37[[#This Row],[QUANTIDADE ITEM]])*10%)</f>
        <v>0</v>
      </c>
      <c r="I69" s="67">
        <f t="shared" si="22"/>
        <v>0</v>
      </c>
      <c r="J69" s="67">
        <f t="shared" ref="J69:J73" si="23">I69*12</f>
        <v>0</v>
      </c>
    </row>
    <row r="70" spans="1:10" s="192" customFormat="1" ht="33" customHeight="1">
      <c r="A70" s="33">
        <v>4</v>
      </c>
      <c r="B70" s="195" t="str">
        <f>'PARAMETROS DA CONTRATAÇÃO'!X19</f>
        <v>Escada de alumínio com 12 degraus, 3 m.</v>
      </c>
      <c r="C70" s="31">
        <f>'PARAMETROS DA CONTRATAÇÃO'!Y19</f>
        <v>267027</v>
      </c>
      <c r="D70" s="31">
        <v>60</v>
      </c>
      <c r="E70" s="388">
        <v>0</v>
      </c>
      <c r="F70" s="67">
        <f>'PARAMETROS DA CONTRATAÇÃO'!Z19</f>
        <v>350</v>
      </c>
      <c r="G70" s="68">
        <v>0.1</v>
      </c>
      <c r="H70" s="67">
        <f>(Tabela37[[#This Row],[QUANTIDADE ITEM]]*Tabela37[[#This Row],[PREÇO MEDIO UNITÁRIO]])-((Tabela37[[#This Row],[PREÇO MEDIO UNITÁRIO]]*Tabela37[[#This Row],[QUANTIDADE ITEM]])*10%)</f>
        <v>0</v>
      </c>
      <c r="I70" s="67">
        <f t="shared" si="22"/>
        <v>0</v>
      </c>
      <c r="J70" s="67">
        <f t="shared" si="23"/>
        <v>0</v>
      </c>
    </row>
    <row r="71" spans="1:10" s="192" customFormat="1" ht="33" customHeight="1">
      <c r="A71" s="33">
        <v>5</v>
      </c>
      <c r="B71" s="195" t="str">
        <f>'PARAMETROS DA CONTRATAÇÃO'!X20</f>
        <v>Escada em alumínio de abrir com 7 degraus.</v>
      </c>
      <c r="C71" s="31">
        <f>'PARAMETROS DA CONTRATAÇÃO'!Y20</f>
        <v>231351</v>
      </c>
      <c r="D71" s="31">
        <v>60</v>
      </c>
      <c r="E71" s="388">
        <v>0</v>
      </c>
      <c r="F71" s="67">
        <f>'PARAMETROS DA CONTRATAÇÃO'!Z20</f>
        <v>250</v>
      </c>
      <c r="G71" s="68">
        <v>0.1</v>
      </c>
      <c r="H71" s="67">
        <f>(Tabela37[[#This Row],[QUANTIDADE ITEM]]*Tabela37[[#This Row],[PREÇO MEDIO UNITÁRIO]])-((Tabela37[[#This Row],[PREÇO MEDIO UNITÁRIO]]*Tabela37[[#This Row],[QUANTIDADE ITEM]])*10%)</f>
        <v>0</v>
      </c>
      <c r="I71" s="67">
        <f t="shared" si="22"/>
        <v>0</v>
      </c>
      <c r="J71" s="67">
        <f t="shared" si="23"/>
        <v>0</v>
      </c>
    </row>
    <row r="72" spans="1:10" s="192" customFormat="1" ht="33" customHeight="1">
      <c r="A72" s="33">
        <v>6</v>
      </c>
      <c r="B72" s="195" t="str">
        <f>'PARAMETROS DA CONTRATAÇÃO'!X21</f>
        <v>Carro funcional para limpeza.</v>
      </c>
      <c r="C72" s="31">
        <f>'PARAMETROS DA CONTRATAÇÃO'!Y21</f>
        <v>298356</v>
      </c>
      <c r="D72" s="31">
        <v>60</v>
      </c>
      <c r="E72" s="388">
        <v>0</v>
      </c>
      <c r="F72" s="67">
        <f>'PARAMETROS DA CONTRATAÇÃO'!Z21</f>
        <v>950</v>
      </c>
      <c r="G72" s="68">
        <v>0.1</v>
      </c>
      <c r="H72" s="67">
        <f>(Tabela37[[#This Row],[QUANTIDADE ITEM]]*Tabela37[[#This Row],[PREÇO MEDIO UNITÁRIO]])-((Tabela37[[#This Row],[PREÇO MEDIO UNITÁRIO]]*Tabela37[[#This Row],[QUANTIDADE ITEM]])*10%)</f>
        <v>0</v>
      </c>
      <c r="I72" s="67">
        <f t="shared" si="22"/>
        <v>0</v>
      </c>
      <c r="J72" s="67">
        <f t="shared" si="23"/>
        <v>0</v>
      </c>
    </row>
    <row r="73" spans="1:10" s="192" customFormat="1" ht="48" customHeight="1">
      <c r="A73" s="33">
        <v>7</v>
      </c>
      <c r="B73" s="195" t="str">
        <f>'PARAMETROS DA CONTRATAÇÃO'!X22</f>
        <v>Lavadora de alta pressão compacta 2 rodas, no minimo de potencia 1,5 kW. Tipo semi-profissional, 110V . Modelo equivalente, ou similar e ou de melhor qualidade  à KARCHER.</v>
      </c>
      <c r="C73" s="31">
        <f>'PARAMETROS DA CONTRATAÇÃO'!Y22</f>
        <v>150245</v>
      </c>
      <c r="D73" s="31">
        <v>60</v>
      </c>
      <c r="E73" s="388">
        <v>1</v>
      </c>
      <c r="F73" s="67">
        <f>'PARAMETROS DA CONTRATAÇÃO'!Z22</f>
        <v>600</v>
      </c>
      <c r="G73" s="68">
        <v>0.1</v>
      </c>
      <c r="H73" s="67">
        <f>(Tabela37[[#This Row],[QUANTIDADE ITEM]]*Tabela37[[#This Row],[PREÇO MEDIO UNITÁRIO]])-((Tabela37[[#This Row],[PREÇO MEDIO UNITÁRIO]]*Tabela37[[#This Row],[QUANTIDADE ITEM]])*10%)</f>
        <v>540</v>
      </c>
      <c r="I73" s="67">
        <f t="shared" si="22"/>
        <v>9</v>
      </c>
      <c r="J73" s="67">
        <f t="shared" si="23"/>
        <v>108</v>
      </c>
    </row>
    <row r="74" spans="1:10" s="192" customFormat="1" ht="33" customHeight="1">
      <c r="A74" s="33">
        <v>8</v>
      </c>
      <c r="B74" s="195" t="str">
        <f>'PARAMETROS DA CONTRATAÇÃO'!X23</f>
        <v>Óculos de Proteção.</v>
      </c>
      <c r="C74" s="31">
        <f>'PARAMETROS DA CONTRATAÇÃO'!Y23</f>
        <v>151039</v>
      </c>
      <c r="D74" s="31">
        <v>60</v>
      </c>
      <c r="E74" s="388">
        <v>0</v>
      </c>
      <c r="F74" s="67">
        <f>'PARAMETROS DA CONTRATAÇÃO'!Z23</f>
        <v>12</v>
      </c>
      <c r="G74" s="68">
        <v>0.1</v>
      </c>
      <c r="H74" s="67">
        <f>(Tabela37[[#This Row],[QUANTIDADE ITEM]]*Tabela37[[#This Row],[PREÇO MEDIO UNITÁRIO]])-((Tabela37[[#This Row],[PREÇO MEDIO UNITÁRIO]]*Tabela37[[#This Row],[QUANTIDADE ITEM]])*10%)</f>
        <v>0</v>
      </c>
      <c r="I74" s="67">
        <f t="shared" si="22"/>
        <v>0</v>
      </c>
      <c r="J74" s="67">
        <f t="shared" ref="J74:J75" si="24">I74*12</f>
        <v>0</v>
      </c>
    </row>
    <row r="75" spans="1:10" s="192" customFormat="1" ht="33" customHeight="1">
      <c r="A75" s="33">
        <v>9</v>
      </c>
      <c r="B75" s="195" t="str">
        <f>'PARAMETROS DA CONTRATAÇÃO'!X24</f>
        <v>Placa sinalizadora "cuidado piso molhado"</v>
      </c>
      <c r="C75" s="31">
        <f>'PARAMETROS DA CONTRATAÇÃO'!Y24</f>
        <v>347968</v>
      </c>
      <c r="D75" s="31">
        <v>60</v>
      </c>
      <c r="E75" s="388">
        <v>3</v>
      </c>
      <c r="F75" s="67">
        <f>'PARAMETROS DA CONTRATAÇÃO'!Z24</f>
        <v>20</v>
      </c>
      <c r="G75" s="68">
        <v>0.1</v>
      </c>
      <c r="H75" s="67">
        <f>(Tabela37[[#This Row],[QUANTIDADE ITEM]]*Tabela37[[#This Row],[PREÇO MEDIO UNITÁRIO]])-((Tabela37[[#This Row],[PREÇO MEDIO UNITÁRIO]]*Tabela37[[#This Row],[QUANTIDADE ITEM]])*10%)</f>
        <v>54</v>
      </c>
      <c r="I75" s="67">
        <f t="shared" si="22"/>
        <v>0.9</v>
      </c>
      <c r="J75" s="67">
        <f t="shared" si="24"/>
        <v>10.8</v>
      </c>
    </row>
    <row r="76" spans="1:10" s="192" customFormat="1" ht="33" customHeight="1">
      <c r="A76" s="33">
        <v>10</v>
      </c>
      <c r="B76" s="195" t="str">
        <f>'PARAMETROS DA CONTRATAÇÃO'!X25</f>
        <v>Podador PROFISSIONAL a gasolina</v>
      </c>
      <c r="C76" s="31">
        <f>'PARAMETROS DA CONTRATAÇÃO'!Y25</f>
        <v>468666</v>
      </c>
      <c r="D76" s="31">
        <v>60</v>
      </c>
      <c r="E76" s="388">
        <v>0</v>
      </c>
      <c r="F76" s="67">
        <f>'PARAMETROS DA CONTRATAÇÃO'!Z25</f>
        <v>350</v>
      </c>
      <c r="G76" s="68">
        <v>0.1</v>
      </c>
      <c r="H76" s="67">
        <f>(Tabela37[[#This Row],[QUANTIDADE ITEM]]*Tabela37[[#This Row],[PREÇO MEDIO UNITÁRIO]])-((Tabela37[[#This Row],[PREÇO MEDIO UNITÁRIO]]*Tabela37[[#This Row],[QUANTIDADE ITEM]])*10%)</f>
        <v>0</v>
      </c>
      <c r="I76" s="67">
        <f t="shared" si="22"/>
        <v>0</v>
      </c>
      <c r="J76" s="67">
        <f>I76*12</f>
        <v>0</v>
      </c>
    </row>
    <row r="77" spans="1:10" s="192" customFormat="1" ht="33" customHeight="1">
      <c r="A77" s="33">
        <v>11</v>
      </c>
      <c r="B77" s="195" t="str">
        <f>'PARAMETROS DA CONTRATAÇÃO'!X26</f>
        <v>Pulverizador Costal Manual Compressão Prévia 20 Litros com 4 bicos</v>
      </c>
      <c r="C77" s="31">
        <f>'PARAMETROS DA CONTRATAÇÃO'!Y26</f>
        <v>321859</v>
      </c>
      <c r="D77" s="31">
        <v>60</v>
      </c>
      <c r="E77" s="388">
        <v>0</v>
      </c>
      <c r="F77" s="67">
        <f>'PARAMETROS DA CONTRATAÇÃO'!Z26</f>
        <v>120</v>
      </c>
      <c r="G77" s="68">
        <v>0.1</v>
      </c>
      <c r="H77" s="67">
        <f>(Tabela37[[#This Row],[QUANTIDADE ITEM]]*Tabela37[[#This Row],[PREÇO MEDIO UNITÁRIO]])-((Tabela37[[#This Row],[PREÇO MEDIO UNITÁRIO]]*Tabela37[[#This Row],[QUANTIDADE ITEM]])*10%)</f>
        <v>0</v>
      </c>
      <c r="I77" s="67">
        <f t="shared" si="22"/>
        <v>0</v>
      </c>
      <c r="J77" s="67">
        <f>I77*12</f>
        <v>0</v>
      </c>
    </row>
    <row r="78" spans="1:10" s="192" customFormat="1" ht="33" customHeight="1">
      <c r="A78" s="33">
        <v>12</v>
      </c>
      <c r="B78" s="195" t="str">
        <f>'PARAMETROS DA CONTRATAÇÃO'!X27</f>
        <v>Roçadeira STIHL FS 220 PROFISSIONAL</v>
      </c>
      <c r="C78" s="31">
        <f>'PARAMETROS DA CONTRATAÇÃO'!Y27</f>
        <v>151031</v>
      </c>
      <c r="D78" s="31">
        <v>60</v>
      </c>
      <c r="E78" s="388">
        <v>0</v>
      </c>
      <c r="F78" s="67">
        <f>'PARAMETROS DA CONTRATAÇÃO'!Z27</f>
        <v>1200</v>
      </c>
      <c r="G78" s="68">
        <v>0.1</v>
      </c>
      <c r="H78" s="67">
        <f>(Tabela37[[#This Row],[QUANTIDADE ITEM]]*Tabela37[[#This Row],[PREÇO MEDIO UNITÁRIO]])-((Tabela37[[#This Row],[PREÇO MEDIO UNITÁRIO]]*Tabela37[[#This Row],[QUANTIDADE ITEM]])*10%)</f>
        <v>0</v>
      </c>
      <c r="I78" s="67">
        <f t="shared" si="22"/>
        <v>0</v>
      </c>
      <c r="J78" s="67">
        <f>I78*12</f>
        <v>0</v>
      </c>
    </row>
    <row r="79" spans="1:10" ht="33" customHeight="1">
      <c r="A79" s="33">
        <v>13</v>
      </c>
      <c r="B79" s="195" t="str">
        <f>'PARAMETROS DA CONTRATAÇÃO'!X28</f>
        <v>Carrinho de mão com caçamba metalica de 45 cm</v>
      </c>
      <c r="C79" s="31">
        <f>'PARAMETROS DA CONTRATAÇÃO'!Y28</f>
        <v>468625</v>
      </c>
      <c r="D79" s="31">
        <v>60</v>
      </c>
      <c r="E79" s="388">
        <v>0</v>
      </c>
      <c r="F79" s="67">
        <f>'PARAMETROS DA CONTRATAÇÃO'!Z28</f>
        <v>75</v>
      </c>
      <c r="G79" s="68">
        <v>0.1</v>
      </c>
      <c r="H79" s="67">
        <f>(Tabela37[[#This Row],[QUANTIDADE ITEM]]*Tabela37[[#This Row],[PREÇO MEDIO UNITÁRIO]])-((Tabela37[[#This Row],[PREÇO MEDIO UNITÁRIO]]*Tabela37[[#This Row],[QUANTIDADE ITEM]])*10%)</f>
        <v>0</v>
      </c>
      <c r="I79" s="67">
        <f t="shared" si="22"/>
        <v>0</v>
      </c>
      <c r="J79" s="67">
        <f>I79*12</f>
        <v>0</v>
      </c>
    </row>
    <row r="80" spans="1:10" s="196" customFormat="1" ht="33" customHeight="1">
      <c r="A80" s="33">
        <v>14</v>
      </c>
      <c r="B80" s="195" t="str">
        <f>'PARAMETROS DA CONTRATAÇÃO'!X29</f>
        <v>Outros (Especificar)</v>
      </c>
      <c r="C80" s="31">
        <f>'PARAMETROS DA CONTRATAÇÃO'!Y29</f>
        <v>0</v>
      </c>
      <c r="D80" s="31">
        <v>60</v>
      </c>
      <c r="E80" s="388">
        <v>0</v>
      </c>
      <c r="F80" s="67">
        <f>'PARAMETROS DA CONTRATAÇÃO'!Z29</f>
        <v>0</v>
      </c>
      <c r="G80" s="68">
        <v>0.1</v>
      </c>
      <c r="H80" s="67">
        <f>(Tabela37[[#This Row],[QUANTIDADE ITEM]]*Tabela37[[#This Row],[PREÇO MEDIO UNITÁRIO]])-((Tabela37[[#This Row],[PREÇO MEDIO UNITÁRIO]]*Tabela37[[#This Row],[QUANTIDADE ITEM]])*10%)</f>
        <v>0</v>
      </c>
      <c r="I80" s="67">
        <f t="shared" si="22"/>
        <v>0</v>
      </c>
      <c r="J80" s="67">
        <f>I80*12</f>
        <v>0</v>
      </c>
    </row>
    <row r="81" spans="1:13" ht="14.25">
      <c r="A81" s="196" t="s">
        <v>433</v>
      </c>
      <c r="B81" s="196"/>
      <c r="C81" s="31"/>
      <c r="D81" s="31"/>
      <c r="E81" s="389"/>
      <c r="F81" s="31"/>
      <c r="G81" s="31"/>
      <c r="H81" s="31"/>
      <c r="I81" s="67">
        <f>SUBTOTAL(109,Tabela37[DEPRECIAÇÃO MENSAL])</f>
        <v>24</v>
      </c>
      <c r="J81" s="67">
        <f>SUBTOTAL(109,Tabela37[DEPRECIAÇÃO ANUAL])</f>
        <v>288</v>
      </c>
    </row>
    <row r="82" spans="1:13" ht="33" customHeight="1">
      <c r="A82" s="54" t="s">
        <v>435</v>
      </c>
      <c r="B82" s="69"/>
      <c r="C82" s="70"/>
      <c r="D82" s="70"/>
      <c r="E82" s="70"/>
      <c r="F82" s="70"/>
      <c r="G82" s="70"/>
      <c r="H82" s="71"/>
      <c r="I82" s="71">
        <f>'VERIFICAÇÃO DO DESEQUILÍBRIO'!C18</f>
        <v>6.0002919299881405</v>
      </c>
      <c r="J82" s="440">
        <f>'VERIFICAÇÃO DO DESEQUILÍBRIO'!C18</f>
        <v>6.0002919299881405</v>
      </c>
    </row>
    <row r="83" spans="1:13" ht="33" customHeight="1" thickBot="1">
      <c r="A83" s="58" t="s">
        <v>434</v>
      </c>
      <c r="B83" s="72"/>
      <c r="C83" s="73"/>
      <c r="D83" s="73"/>
      <c r="E83" s="73"/>
      <c r="F83" s="73"/>
      <c r="G83" s="70"/>
      <c r="H83" s="390"/>
      <c r="I83" s="390">
        <f>Tabela37[[#Totals],[DEPRECIAÇÃO MENSAL]]/I82</f>
        <v>3.999805389476681</v>
      </c>
      <c r="J83" s="441">
        <f>Tabela37[[#Totals],[DEPRECIAÇÃO ANUAL]]/J82</f>
        <v>47.997664673720173</v>
      </c>
      <c r="L83" s="33"/>
      <c r="M83" s="33"/>
    </row>
    <row r="84" spans="1:13" s="26" customFormat="1" ht="33" customHeight="1" thickTop="1">
      <c r="A84" s="45"/>
      <c r="B84" s="45"/>
      <c r="C84" s="45"/>
      <c r="D84" s="45"/>
      <c r="E84" s="45"/>
      <c r="F84" s="45"/>
      <c r="G84" s="45"/>
      <c r="H84" s="45"/>
      <c r="I84" s="45"/>
      <c r="L84" s="33"/>
      <c r="M84" s="33"/>
    </row>
    <row r="85" spans="1:13" ht="33" customHeight="1" thickBot="1">
      <c r="B85" s="459" t="s">
        <v>163</v>
      </c>
      <c r="C85" s="460"/>
      <c r="D85" s="460"/>
      <c r="E85" s="460"/>
      <c r="F85" s="461"/>
      <c r="L85" s="33"/>
      <c r="M85" s="33"/>
    </row>
    <row r="86" spans="1:13" ht="33" customHeight="1" thickTop="1">
      <c r="B86" s="33" t="s">
        <v>164</v>
      </c>
      <c r="C86" s="33" t="s">
        <v>156</v>
      </c>
      <c r="D86" s="33" t="s">
        <v>165</v>
      </c>
      <c r="E86" s="33" t="s">
        <v>167</v>
      </c>
      <c r="F86" s="33" t="s">
        <v>143</v>
      </c>
    </row>
    <row r="87" spans="1:13" ht="33" customHeight="1">
      <c r="A87" s="26"/>
      <c r="B87" s="33" t="s">
        <v>238</v>
      </c>
      <c r="C87" s="74">
        <f t="shared" ref="C87:C88" si="25">$H$62</f>
        <v>38.3181356311866</v>
      </c>
      <c r="D87" s="74">
        <f>F9</f>
        <v>23.5</v>
      </c>
      <c r="E87" s="74">
        <f t="shared" ref="E87:E88" si="26">$I$83</f>
        <v>3.999805389476681</v>
      </c>
      <c r="F87" s="50">
        <f>SUM(C87:E87)</f>
        <v>65.817941020663284</v>
      </c>
      <c r="G87" s="26"/>
      <c r="H87" s="26"/>
      <c r="I87" s="26"/>
    </row>
    <row r="88" spans="1:13" ht="33" customHeight="1">
      <c r="B88" s="33" t="s">
        <v>161</v>
      </c>
      <c r="C88" s="74">
        <f t="shared" si="25"/>
        <v>38.3181356311866</v>
      </c>
      <c r="D88" s="74">
        <f>F9</f>
        <v>23.5</v>
      </c>
      <c r="E88" s="74">
        <f t="shared" si="26"/>
        <v>3.999805389476681</v>
      </c>
      <c r="F88" s="50">
        <f>SUM(C88:E88)</f>
        <v>65.817941020663284</v>
      </c>
    </row>
    <row r="89" spans="1:13" ht="33" customHeight="1"/>
    <row r="90" spans="1:13" ht="33" customHeight="1"/>
  </sheetData>
  <sheetProtection algorithmName="SHA-512" hashValue="kktOL2N7YT/OAX+NqzB2pfAfSQQOV+X4NGkvsiLHimnQoygyPyElAWdlmPRoSFa0LJXdCzUqLwSlPgVntvqhlQ==" saltValue="rYOX4MzcW7Vu80kDzkTbFg==" spinCount="100000" sheet="1" objects="1" scenarios="1"/>
  <mergeCells count="5">
    <mergeCell ref="A1:G1"/>
    <mergeCell ref="B85:F85"/>
    <mergeCell ref="A11:I11"/>
    <mergeCell ref="A12:I12"/>
    <mergeCell ref="A65:J65"/>
  </mergeCells>
  <pageMargins left="0.511811024" right="0.511811024" top="0.78740157499999996" bottom="0.78740157499999996" header="0.31496062000000002" footer="0.31496062000000002"/>
  <pageSetup paperSize="9" scale="49" orientation="portrait" r:id="rId1"/>
  <colBreaks count="1" manualBreakCount="1">
    <brk id="9" max="1048575" man="1"/>
  </colBreaks>
  <tableParts count="4">
    <tablePart r:id="rId2"/>
    <tablePart r:id="rId3"/>
    <tablePart r:id="rId4"/>
    <tablePart r:id="rId5"/>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F57"/>
  <sheetViews>
    <sheetView showGridLines="0" workbookViewId="0">
      <selection activeCell="C18" sqref="C18"/>
    </sheetView>
  </sheetViews>
  <sheetFormatPr defaultRowHeight="15"/>
  <cols>
    <col min="1" max="1" width="57.7109375" style="1" bestFit="1" customWidth="1"/>
    <col min="2" max="2" width="45.85546875" style="1" customWidth="1"/>
    <col min="3" max="3" width="43" style="1" customWidth="1"/>
    <col min="4" max="4" width="9.140625" style="1"/>
    <col min="5" max="6" width="5.85546875" style="1" bestFit="1" customWidth="1"/>
    <col min="7" max="16384" width="9.140625" style="1"/>
  </cols>
  <sheetData>
    <row r="3" spans="1:6">
      <c r="A3" s="15" t="s">
        <v>226</v>
      </c>
      <c r="B3" s="19" t="s">
        <v>319</v>
      </c>
      <c r="C3" s="13" t="s">
        <v>318</v>
      </c>
    </row>
    <row r="4" spans="1:6">
      <c r="A4" s="16" t="s">
        <v>341</v>
      </c>
      <c r="B4" s="18">
        <v>1.8246875</v>
      </c>
      <c r="C4" s="14">
        <v>5.1732870370370376</v>
      </c>
      <c r="E4" s="2">
        <f>GETPIVOTDATA("Soma de Tempo Unitário Estimado das Atividades",$A$3,"Periodicidade","01.Diária")*24/8.8</f>
        <v>4.9764204545454547</v>
      </c>
      <c r="F4" s="2">
        <f>GETPIVOTDATA("Soma de Tempo Total Estimado das Atividades",$A$3,"Periodicidade","01.Diária")*24/8.8</f>
        <v>14.108964646464646</v>
      </c>
    </row>
    <row r="5" spans="1:6">
      <c r="A5" s="17" t="s">
        <v>221</v>
      </c>
      <c r="B5" s="18">
        <v>8.2754629629629619E-3</v>
      </c>
      <c r="C5" s="14">
        <v>2.4837962962962964E-2</v>
      </c>
      <c r="E5" s="2"/>
    </row>
    <row r="6" spans="1:6">
      <c r="A6" s="17" t="s">
        <v>296</v>
      </c>
      <c r="B6" s="18">
        <v>5.1377314814814813E-2</v>
      </c>
      <c r="C6" s="14">
        <v>0.10275462962962963</v>
      </c>
      <c r="E6" s="2"/>
    </row>
    <row r="7" spans="1:6">
      <c r="A7" s="17" t="s">
        <v>290</v>
      </c>
      <c r="B7" s="18">
        <v>9.5138888888888894E-3</v>
      </c>
      <c r="C7" s="14">
        <v>2.8530092592592593E-2</v>
      </c>
      <c r="E7" s="3"/>
    </row>
    <row r="8" spans="1:6">
      <c r="A8" s="17" t="s">
        <v>546</v>
      </c>
      <c r="B8" s="18">
        <v>0.1152199074074074</v>
      </c>
      <c r="C8" s="14">
        <v>0.34564814814814815</v>
      </c>
    </row>
    <row r="9" spans="1:6">
      <c r="A9" s="17" t="s">
        <v>548</v>
      </c>
      <c r="B9" s="18">
        <v>1.8287037037037036E-2</v>
      </c>
      <c r="C9" s="14">
        <v>5.486111111111111E-2</v>
      </c>
    </row>
    <row r="10" spans="1:6">
      <c r="A10" s="17" t="s">
        <v>550</v>
      </c>
      <c r="B10" s="18">
        <v>9.2361111111111116E-3</v>
      </c>
      <c r="C10" s="14">
        <v>2.7696759259259258E-2</v>
      </c>
    </row>
    <row r="11" spans="1:6">
      <c r="A11" s="17" t="s">
        <v>552</v>
      </c>
      <c r="B11" s="18">
        <v>1.045138888888889E-2</v>
      </c>
      <c r="C11" s="14">
        <v>3.1354166666666662E-2</v>
      </c>
    </row>
    <row r="12" spans="1:6">
      <c r="A12" s="17" t="s">
        <v>553</v>
      </c>
      <c r="B12" s="18">
        <v>5.0601851851851849E-2</v>
      </c>
      <c r="C12" s="14">
        <v>0.15180555555555555</v>
      </c>
    </row>
    <row r="13" spans="1:6">
      <c r="A13" s="17" t="s">
        <v>555</v>
      </c>
      <c r="B13" s="18">
        <v>3.6689814814814821E-2</v>
      </c>
      <c r="C13" s="14">
        <v>0.11005787037037036</v>
      </c>
    </row>
    <row r="14" spans="1:6">
      <c r="A14" s="17" t="s">
        <v>557</v>
      </c>
      <c r="B14" s="18">
        <v>3.636574074074074E-2</v>
      </c>
      <c r="C14" s="14">
        <v>0.10909722222222222</v>
      </c>
    </row>
    <row r="15" spans="1:6">
      <c r="A15" s="17" t="s">
        <v>562</v>
      </c>
      <c r="B15" s="18">
        <v>3.5752314814814813E-2</v>
      </c>
      <c r="C15" s="14">
        <v>0.10724537037037037</v>
      </c>
    </row>
    <row r="16" spans="1:6">
      <c r="A16" s="17" t="s">
        <v>563</v>
      </c>
      <c r="B16" s="18">
        <v>3.5752314814814813E-2</v>
      </c>
      <c r="C16" s="14">
        <v>0.10724537037037037</v>
      </c>
    </row>
    <row r="17" spans="1:6">
      <c r="A17" s="17" t="s">
        <v>564</v>
      </c>
      <c r="B17" s="18">
        <v>4.8321759259259266E-2</v>
      </c>
      <c r="C17" s="14">
        <v>0.14497685185185186</v>
      </c>
    </row>
    <row r="18" spans="1:6">
      <c r="A18" s="17" t="s">
        <v>565</v>
      </c>
      <c r="B18" s="18">
        <v>5.004629629629629E-2</v>
      </c>
      <c r="C18" s="14">
        <v>0.15015046296296297</v>
      </c>
    </row>
    <row r="19" spans="1:6">
      <c r="A19" s="17" t="s">
        <v>566</v>
      </c>
      <c r="B19" s="18">
        <v>2.6215277777777778E-2</v>
      </c>
      <c r="C19" s="14">
        <v>7.8645833333333331E-2</v>
      </c>
    </row>
    <row r="20" spans="1:6">
      <c r="A20" s="17" t="s">
        <v>568</v>
      </c>
      <c r="B20" s="18">
        <v>4.9189814814814816E-3</v>
      </c>
      <c r="C20" s="14">
        <v>1.4768518518518519E-2</v>
      </c>
      <c r="E20" s="2">
        <f>GETPIVOTDATA("Soma de Tempo Unitário Estimado das Atividades",$A$3,"Periodicidade","02.Semanal")*24/8.8</f>
        <v>2.2569444444444437E-2</v>
      </c>
      <c r="F20" s="2">
        <f>GETPIVOTDATA("Soma de Tempo Total Estimado das Atividades",$A$3,"Periodicidade","02.Semanal")*24/8.8</f>
        <v>4.5107323232323235E-2</v>
      </c>
    </row>
    <row r="21" spans="1:6">
      <c r="A21" s="17" t="s">
        <v>572</v>
      </c>
      <c r="B21" s="18">
        <v>1.4479166666666668E-2</v>
      </c>
      <c r="C21" s="14">
        <v>4.3449074074074077E-2</v>
      </c>
    </row>
    <row r="22" spans="1:6">
      <c r="A22" s="17" t="s">
        <v>574</v>
      </c>
      <c r="B22" s="18">
        <v>6.5578703703703708E-2</v>
      </c>
      <c r="C22" s="14">
        <v>0.19673611111111111</v>
      </c>
    </row>
    <row r="23" spans="1:6">
      <c r="A23" s="17" t="s">
        <v>576</v>
      </c>
      <c r="B23" s="18">
        <v>1.4120370370370368E-2</v>
      </c>
      <c r="C23" s="14">
        <v>4.2349537037037033E-2</v>
      </c>
    </row>
    <row r="24" spans="1:6">
      <c r="A24" s="17" t="s">
        <v>577</v>
      </c>
      <c r="B24" s="18">
        <v>2.3692129629629629E-2</v>
      </c>
      <c r="C24" s="14">
        <v>7.1064814814814817E-2</v>
      </c>
    </row>
    <row r="25" spans="1:6">
      <c r="A25" s="17" t="s">
        <v>579</v>
      </c>
      <c r="B25" s="18">
        <v>6.4467592592592597E-3</v>
      </c>
      <c r="C25" s="14">
        <v>1.9328703703703702E-2</v>
      </c>
      <c r="E25" s="2"/>
      <c r="F25" s="2"/>
    </row>
    <row r="26" spans="1:6">
      <c r="A26" s="17" t="s">
        <v>580</v>
      </c>
      <c r="B26" s="18">
        <v>8.8773148148148153E-3</v>
      </c>
      <c r="C26" s="14">
        <v>2.6643518518518521E-2</v>
      </c>
      <c r="E26" s="2">
        <f>GETPIVOTDATA("Soma de Tempo Unitário Estimado das Atividades",$A$3,"Periodicidade","04.Mensal")*24/8.8</f>
        <v>1.3257575757575756E-3</v>
      </c>
      <c r="F26" s="2">
        <f>GETPIVOTDATA("Soma de Tempo Total Estimado das Atividades",$A$3,"Periodicidade","04.Mensal")*24/8.8</f>
        <v>2.6515151515151512E-3</v>
      </c>
    </row>
    <row r="27" spans="1:6">
      <c r="A27" s="17" t="s">
        <v>582</v>
      </c>
      <c r="B27" s="18">
        <v>7.2453703703703708E-3</v>
      </c>
      <c r="C27" s="14">
        <v>2.1724537037037039E-2</v>
      </c>
    </row>
    <row r="28" spans="1:6">
      <c r="A28" s="17" t="s">
        <v>587</v>
      </c>
      <c r="B28" s="18">
        <v>2.1030092592592597E-2</v>
      </c>
      <c r="C28" s="14">
        <v>4.207175925925926E-2</v>
      </c>
      <c r="E28" s="2" t="e">
        <f>GETPIVOTDATA("Soma de Tempo Unitário Estimado das Atividades",$A$3,"Periodicidade","05.Semestral")*24/8.8</f>
        <v>#REF!</v>
      </c>
      <c r="F28" s="2" t="e">
        <f>GETPIVOTDATA("Soma de Tempo Total Estimado das Atividades",$A$3,"Periodicidade","05.Semestral")*24/8.8</f>
        <v>#REF!</v>
      </c>
    </row>
    <row r="29" spans="1:6">
      <c r="A29" s="17" t="s">
        <v>591</v>
      </c>
      <c r="B29" s="18">
        <v>0.16500000000000001</v>
      </c>
      <c r="C29" s="14">
        <v>0.49500000000000005</v>
      </c>
    </row>
    <row r="30" spans="1:6">
      <c r="A30" s="17" t="s">
        <v>593</v>
      </c>
      <c r="B30" s="18">
        <v>0.10340277777777777</v>
      </c>
      <c r="C30" s="14">
        <v>0.31019675925925927</v>
      </c>
    </row>
    <row r="31" spans="1:6">
      <c r="A31" s="17" t="s">
        <v>595</v>
      </c>
      <c r="B31" s="18">
        <v>4.9375000000000002E-2</v>
      </c>
      <c r="C31" s="14">
        <v>0.14813657407407407</v>
      </c>
      <c r="E31" s="2" t="e">
        <f>E28+E26+E20+E4</f>
        <v>#REF!</v>
      </c>
      <c r="F31" s="2" t="e">
        <f>F4+F20+F26+F28</f>
        <v>#REF!</v>
      </c>
    </row>
    <row r="32" spans="1:6">
      <c r="A32" s="17" t="s">
        <v>600</v>
      </c>
      <c r="B32" s="18">
        <v>2.4745370370370372E-2</v>
      </c>
      <c r="C32" s="14">
        <v>7.4247685185185194E-2</v>
      </c>
    </row>
    <row r="33" spans="1:3">
      <c r="A33" s="17" t="s">
        <v>602</v>
      </c>
      <c r="B33" s="18">
        <v>1.9907407407407408E-2</v>
      </c>
      <c r="C33" s="14">
        <v>5.9733796296296299E-2</v>
      </c>
    </row>
    <row r="34" spans="1:3">
      <c r="A34" s="17" t="s">
        <v>604</v>
      </c>
      <c r="B34" s="18">
        <v>2.1562499999999998E-2</v>
      </c>
      <c r="C34" s="14">
        <v>6.4675925925925928E-2</v>
      </c>
    </row>
    <row r="35" spans="1:3">
      <c r="A35" s="17" t="s">
        <v>605</v>
      </c>
      <c r="B35" s="18">
        <v>1.0243055555555556E-2</v>
      </c>
      <c r="C35" s="14">
        <v>3.0740740740740739E-2</v>
      </c>
    </row>
    <row r="36" spans="1:3">
      <c r="A36" s="17" t="s">
        <v>608</v>
      </c>
      <c r="B36" s="18">
        <v>2.1805555555555554E-2</v>
      </c>
      <c r="C36" s="14">
        <v>6.5428240740740731E-2</v>
      </c>
    </row>
    <row r="37" spans="1:3">
      <c r="A37" s="17" t="s">
        <v>610</v>
      </c>
      <c r="B37" s="18">
        <v>1.622685185185185E-2</v>
      </c>
      <c r="C37" s="14">
        <v>4.868055555555556E-2</v>
      </c>
    </row>
    <row r="38" spans="1:3">
      <c r="A38" s="17" t="s">
        <v>611</v>
      </c>
      <c r="B38" s="18">
        <v>0.2283449074074074</v>
      </c>
      <c r="C38" s="14">
        <v>0.45667824074074076</v>
      </c>
    </row>
    <row r="39" spans="1:3">
      <c r="A39" s="17" t="s">
        <v>613</v>
      </c>
      <c r="B39" s="18">
        <v>4.5185185185185189E-2</v>
      </c>
      <c r="C39" s="14">
        <v>0.13554398148148147</v>
      </c>
    </row>
    <row r="40" spans="1:3">
      <c r="A40" s="17" t="s">
        <v>615</v>
      </c>
      <c r="B40" s="18">
        <v>4.5185185185185189E-2</v>
      </c>
      <c r="C40" s="14">
        <v>0.13554398148148147</v>
      </c>
    </row>
    <row r="41" spans="1:3">
      <c r="A41" s="17" t="s">
        <v>616</v>
      </c>
      <c r="B41" s="18">
        <v>4.0810185185185185E-2</v>
      </c>
      <c r="C41" s="14">
        <v>0.12243055555555556</v>
      </c>
    </row>
    <row r="42" spans="1:3">
      <c r="A42" s="17" t="s">
        <v>617</v>
      </c>
      <c r="B42" s="18">
        <v>0.12599537037037037</v>
      </c>
      <c r="C42" s="14">
        <v>0.37799768518518517</v>
      </c>
    </row>
    <row r="43" spans="1:3">
      <c r="A43" s="17" t="s">
        <v>618</v>
      </c>
      <c r="B43" s="18">
        <v>4.9606481481481481E-2</v>
      </c>
      <c r="C43" s="14">
        <v>0.14883101851851852</v>
      </c>
    </row>
    <row r="44" spans="1:3">
      <c r="A44" s="17" t="s">
        <v>619</v>
      </c>
      <c r="B44" s="18">
        <v>4.9606481481481481E-2</v>
      </c>
      <c r="C44" s="14">
        <v>0.14883101851851852</v>
      </c>
    </row>
    <row r="45" spans="1:3">
      <c r="A45" s="17" t="s">
        <v>620</v>
      </c>
      <c r="B45" s="18">
        <v>3.2986111111111111E-3</v>
      </c>
      <c r="C45" s="14">
        <v>9.8958333333333329E-3</v>
      </c>
    </row>
    <row r="46" spans="1:3">
      <c r="A46" s="17" t="s">
        <v>622</v>
      </c>
      <c r="B46" s="18">
        <v>2.7870370370370368E-2</v>
      </c>
      <c r="C46" s="14">
        <v>8.3599537037037042E-2</v>
      </c>
    </row>
    <row r="47" spans="1:3">
      <c r="A47" s="17" t="s">
        <v>624</v>
      </c>
      <c r="B47" s="18">
        <v>6.8020833333333336E-2</v>
      </c>
      <c r="C47" s="14">
        <v>0.20405092592592591</v>
      </c>
    </row>
    <row r="48" spans="1:3">
      <c r="A48" s="16" t="s">
        <v>342</v>
      </c>
      <c r="B48" s="18">
        <v>8.2754629629629619E-3</v>
      </c>
      <c r="C48" s="14">
        <v>1.6539351851851854E-2</v>
      </c>
    </row>
    <row r="49" spans="1:3">
      <c r="A49" s="17" t="s">
        <v>558</v>
      </c>
      <c r="B49" s="18">
        <v>1.4351851851851854E-3</v>
      </c>
      <c r="C49" s="14">
        <v>2.8703703703703708E-3</v>
      </c>
    </row>
    <row r="50" spans="1:3">
      <c r="A50" s="17" t="s">
        <v>561</v>
      </c>
      <c r="B50" s="18">
        <v>4.1782407407407402E-3</v>
      </c>
      <c r="C50" s="14">
        <v>8.3680555555555557E-3</v>
      </c>
    </row>
    <row r="51" spans="1:3">
      <c r="A51" s="17" t="s">
        <v>590</v>
      </c>
      <c r="B51" s="18">
        <v>4.6296296296296293E-4</v>
      </c>
      <c r="C51" s="14">
        <v>9.1435185185185185E-4</v>
      </c>
    </row>
    <row r="52" spans="1:3">
      <c r="A52" s="17" t="s">
        <v>598</v>
      </c>
      <c r="B52" s="18">
        <v>2.1990740740740742E-3</v>
      </c>
      <c r="C52" s="14">
        <v>4.386574074074074E-3</v>
      </c>
    </row>
    <row r="53" spans="1:3">
      <c r="A53" s="16" t="s">
        <v>344</v>
      </c>
      <c r="B53" s="18">
        <v>4.8611111111111104E-4</v>
      </c>
      <c r="C53" s="14">
        <v>9.7222222222222209E-4</v>
      </c>
    </row>
    <row r="54" spans="1:3">
      <c r="A54" s="17" t="s">
        <v>297</v>
      </c>
      <c r="B54" s="18">
        <v>4.8611111111111104E-4</v>
      </c>
      <c r="C54" s="14">
        <v>9.7222222222222209E-4</v>
      </c>
    </row>
    <row r="55" spans="1:3">
      <c r="A55" s="16" t="s">
        <v>314</v>
      </c>
      <c r="B55" s="18">
        <v>1.8334375000000001</v>
      </c>
      <c r="C55" s="14">
        <v>5.1908101851851853</v>
      </c>
    </row>
    <row r="56" spans="1:3">
      <c r="A56" s="17" t="s">
        <v>314</v>
      </c>
      <c r="B56" s="18">
        <v>1.8334375000000001</v>
      </c>
      <c r="C56" s="14">
        <v>5.1908101851851853</v>
      </c>
    </row>
    <row r="57" spans="1:3">
      <c r="A57" s="16" t="s">
        <v>227</v>
      </c>
      <c r="B57" s="18">
        <v>3.6668865740740744</v>
      </c>
      <c r="C57" s="14">
        <v>10.381608796296296</v>
      </c>
    </row>
  </sheetData>
  <pageMargins left="0.511811024" right="0.511811024" top="0.78740157499999996" bottom="0.78740157499999996" header="0.31496062000000002" footer="0.31496062000000002"/>
  <pageSetup paperSize="9" orientation="portrait" verticalDpi="0"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19"/>
  <sheetViews>
    <sheetView showGridLines="0" workbookViewId="0">
      <selection activeCell="H11" sqref="H11"/>
    </sheetView>
  </sheetViews>
  <sheetFormatPr defaultColWidth="9.140625" defaultRowHeight="33" customHeight="1"/>
  <cols>
    <col min="1" max="1" width="35" style="52" customWidth="1"/>
    <col min="2" max="2" width="16.28515625" style="52" customWidth="1"/>
    <col min="3" max="3" width="17.140625" style="45" customWidth="1"/>
    <col min="4" max="4" width="19" style="45" customWidth="1"/>
    <col min="5" max="5" width="11" style="45" customWidth="1"/>
    <col min="6" max="6" width="21.5703125" style="45" customWidth="1"/>
    <col min="7" max="7" width="12" style="45" customWidth="1"/>
    <col min="8" max="8" width="16.85546875" style="83" customWidth="1"/>
    <col min="9" max="9" width="15" style="45" customWidth="1"/>
    <col min="10" max="11" width="9.140625" style="77"/>
    <col min="12" max="12" width="34.7109375" style="77" customWidth="1"/>
    <col min="13" max="13" width="15.42578125" style="77" customWidth="1"/>
    <col min="14" max="14" width="12.85546875" style="77" bestFit="1" customWidth="1"/>
    <col min="15" max="15" width="13.85546875" style="77" bestFit="1" customWidth="1"/>
    <col min="16" max="16" width="12.85546875" style="77" bestFit="1" customWidth="1"/>
    <col min="17" max="17" width="21.28515625" style="77" bestFit="1" customWidth="1"/>
    <col min="18" max="18" width="10" style="77" bestFit="1" customWidth="1"/>
    <col min="19" max="19" width="13.85546875" style="77" bestFit="1" customWidth="1"/>
    <col min="20" max="20" width="12.42578125" style="77" customWidth="1"/>
    <col min="21" max="16384" width="9.140625" style="77"/>
  </cols>
  <sheetData>
    <row r="1" spans="1:20" ht="33" customHeight="1" thickBot="1">
      <c r="A1" s="485" t="s">
        <v>238</v>
      </c>
      <c r="B1" s="486"/>
      <c r="C1" s="486"/>
      <c r="D1" s="486"/>
      <c r="E1" s="486"/>
      <c r="F1" s="486"/>
      <c r="G1" s="486"/>
      <c r="H1" s="486"/>
      <c r="I1" s="487"/>
      <c r="L1" s="485" t="s">
        <v>161</v>
      </c>
      <c r="M1" s="486"/>
      <c r="N1" s="486"/>
      <c r="O1" s="486"/>
      <c r="P1" s="486"/>
      <c r="Q1" s="486"/>
      <c r="R1" s="486"/>
      <c r="S1" s="486"/>
      <c r="T1" s="487"/>
    </row>
    <row r="2" spans="1:20" s="52" customFormat="1" ht="33" customHeight="1" thickTop="1">
      <c r="A2" s="36" t="s">
        <v>399</v>
      </c>
      <c r="B2" s="36" t="s">
        <v>76</v>
      </c>
      <c r="C2" s="36" t="s">
        <v>400</v>
      </c>
      <c r="D2" s="36" t="s">
        <v>401</v>
      </c>
      <c r="E2" s="36" t="s">
        <v>402</v>
      </c>
      <c r="F2" s="36" t="s">
        <v>403</v>
      </c>
      <c r="G2" s="36" t="s">
        <v>370</v>
      </c>
      <c r="H2" s="39" t="s">
        <v>71</v>
      </c>
      <c r="I2" s="36" t="s">
        <v>404</v>
      </c>
      <c r="L2" s="36" t="s">
        <v>399</v>
      </c>
      <c r="M2" s="36" t="s">
        <v>76</v>
      </c>
      <c r="N2" s="36" t="s">
        <v>400</v>
      </c>
      <c r="O2" s="36" t="s">
        <v>401</v>
      </c>
      <c r="P2" s="36" t="s">
        <v>402</v>
      </c>
      <c r="Q2" s="36" t="s">
        <v>403</v>
      </c>
      <c r="R2" s="36" t="s">
        <v>370</v>
      </c>
      <c r="S2" s="39" t="s">
        <v>71</v>
      </c>
      <c r="T2" s="36" t="s">
        <v>404</v>
      </c>
    </row>
    <row r="3" spans="1:20" ht="33" customHeight="1">
      <c r="A3" s="36" t="s">
        <v>405</v>
      </c>
      <c r="B3" s="36" t="s">
        <v>22</v>
      </c>
      <c r="C3" s="41">
        <v>30</v>
      </c>
      <c r="D3" s="78">
        <f>C3/30</f>
        <v>1</v>
      </c>
      <c r="E3" s="78">
        <f t="shared" ref="E3:E14" si="0">1/12</f>
        <v>8.3333333333333329E-2</v>
      </c>
      <c r="F3" s="78">
        <f>'PARAMETROS DA CONTRATAÇÃO'!U7</f>
        <v>0.1111111111111111</v>
      </c>
      <c r="G3" s="78">
        <f>F3*E3*D3</f>
        <v>9.2592592592592587E-3</v>
      </c>
      <c r="H3" s="79">
        <f>'DEMAIS MÓDULOS'!$G$2+'DEMAIS MÓDULOS'!$G$26+Tabela3339[[#Totals],[Valor]]</f>
        <v>2618.5342719216956</v>
      </c>
      <c r="I3" s="79">
        <f t="shared" ref="I3:I14" si="1">G3*H3</f>
        <v>24.24568770297866</v>
      </c>
      <c r="L3" s="36" t="s">
        <v>405</v>
      </c>
      <c r="M3" s="36" t="s">
        <v>22</v>
      </c>
      <c r="N3" s="41">
        <v>30</v>
      </c>
      <c r="O3" s="78">
        <f>N3/30</f>
        <v>1</v>
      </c>
      <c r="P3" s="78">
        <f t="shared" ref="P3:P14" si="2">1/12</f>
        <v>8.3333333333333329E-2</v>
      </c>
      <c r="Q3" s="78">
        <f>'PARAMETROS DA CONTRATAÇÃO'!U7</f>
        <v>0.1111111111111111</v>
      </c>
      <c r="R3" s="78">
        <f>Q3*P3*O3</f>
        <v>9.2592592592592587E-3</v>
      </c>
      <c r="S3" s="79">
        <f>SUM('DEMAIS MÓDULOS'!$G$3+'DEMAIS MÓDULOS'!$G$27+Tabela33[[#Totals],[Valor]])</f>
        <v>2251.4281458530309</v>
      </c>
      <c r="T3" s="79">
        <f t="shared" ref="T3:T14" si="3">R3*S3</f>
        <v>20.84655690604658</v>
      </c>
    </row>
    <row r="4" spans="1:20" ht="40.5" customHeight="1">
      <c r="A4" s="36" t="s">
        <v>406</v>
      </c>
      <c r="B4" s="36" t="s">
        <v>407</v>
      </c>
      <c r="C4" s="41">
        <v>1</v>
      </c>
      <c r="D4" s="78">
        <f t="shared" ref="D4:D14" si="4">C4/30</f>
        <v>3.3333333333333333E-2</v>
      </c>
      <c r="E4" s="78">
        <f t="shared" si="0"/>
        <v>8.3333333333333329E-2</v>
      </c>
      <c r="F4" s="78">
        <f>'PARAMETROS DA CONTRATAÇÃO'!U8</f>
        <v>1</v>
      </c>
      <c r="G4" s="78">
        <f>F4*E4*D4</f>
        <v>2.7777777777777775E-3</v>
      </c>
      <c r="H4" s="79">
        <f>'DEMAIS MÓDULOS'!$G$2+'DEMAIS MÓDULOS'!$G$26+Tabela3339[[#Totals],[Valor]]</f>
        <v>2618.5342719216956</v>
      </c>
      <c r="I4" s="79">
        <f t="shared" si="1"/>
        <v>7.2737063108935978</v>
      </c>
      <c r="L4" s="36" t="s">
        <v>406</v>
      </c>
      <c r="M4" s="36" t="s">
        <v>407</v>
      </c>
      <c r="N4" s="41">
        <v>1</v>
      </c>
      <c r="O4" s="78">
        <f t="shared" ref="O4:O14" si="5">N4/30</f>
        <v>3.3333333333333333E-2</v>
      </c>
      <c r="P4" s="78">
        <f t="shared" si="2"/>
        <v>8.3333333333333329E-2</v>
      </c>
      <c r="Q4" s="78">
        <f>'PARAMETROS DA CONTRATAÇÃO'!U8</f>
        <v>1</v>
      </c>
      <c r="R4" s="78">
        <f>Q4*P4*O4</f>
        <v>2.7777777777777775E-3</v>
      </c>
      <c r="S4" s="79">
        <f>SUM('DEMAIS MÓDULOS'!$G$3+'DEMAIS MÓDULOS'!$G$27+Tabela33[[#Totals],[Valor]])</f>
        <v>2251.4281458530309</v>
      </c>
      <c r="T4" s="79">
        <f t="shared" si="3"/>
        <v>6.2539670718139737</v>
      </c>
    </row>
    <row r="5" spans="1:20" ht="33" customHeight="1">
      <c r="A5" s="36" t="s">
        <v>408</v>
      </c>
      <c r="B5" s="36" t="s">
        <v>409</v>
      </c>
      <c r="C5" s="41">
        <v>5</v>
      </c>
      <c r="D5" s="78">
        <f t="shared" si="4"/>
        <v>0.16666666666666666</v>
      </c>
      <c r="E5" s="78">
        <f t="shared" si="0"/>
        <v>8.3333333333333329E-2</v>
      </c>
      <c r="F5" s="80">
        <f>'PARAMETROS DA CONTRATAÇÃO'!U9</f>
        <v>1.2200000000000001E-2</v>
      </c>
      <c r="G5" s="78">
        <f t="shared" ref="G5:G14" si="6">F5*E5*D5</f>
        <v>1.6944444444444442E-4</v>
      </c>
      <c r="H5" s="79">
        <f>'DEMAIS MÓDULOS'!$G$2+'DEMAIS MÓDULOS'!$G$26+Tabela3339[[#Totals],[Valor]]</f>
        <v>2618.5342719216956</v>
      </c>
      <c r="I5" s="79">
        <f t="shared" si="1"/>
        <v>0.44369608496450946</v>
      </c>
      <c r="L5" s="36" t="s">
        <v>408</v>
      </c>
      <c r="M5" s="36" t="s">
        <v>409</v>
      </c>
      <c r="N5" s="41">
        <v>5</v>
      </c>
      <c r="O5" s="78">
        <f t="shared" si="5"/>
        <v>0.16666666666666666</v>
      </c>
      <c r="P5" s="78">
        <f t="shared" si="2"/>
        <v>8.3333333333333329E-2</v>
      </c>
      <c r="Q5" s="80">
        <f>'PARAMETROS DA CONTRATAÇÃO'!U9</f>
        <v>1.2200000000000001E-2</v>
      </c>
      <c r="R5" s="78">
        <f t="shared" ref="R5:R8" si="7">Q5*P5*O5</f>
        <v>1.6944444444444442E-4</v>
      </c>
      <c r="S5" s="79">
        <f>SUM('DEMAIS MÓDULOS'!$G$3+'DEMAIS MÓDULOS'!$G$27+Tabela33[[#Totals],[Valor]])</f>
        <v>2251.4281458530309</v>
      </c>
      <c r="T5" s="79">
        <f t="shared" si="3"/>
        <v>0.38149199138065237</v>
      </c>
    </row>
    <row r="6" spans="1:20" ht="33" customHeight="1">
      <c r="A6" s="36" t="s">
        <v>410</v>
      </c>
      <c r="B6" s="36" t="s">
        <v>411</v>
      </c>
      <c r="C6" s="41">
        <v>15</v>
      </c>
      <c r="D6" s="78">
        <f t="shared" si="4"/>
        <v>0.5</v>
      </c>
      <c r="E6" s="78">
        <f t="shared" si="0"/>
        <v>8.3333333333333329E-2</v>
      </c>
      <c r="F6" s="80">
        <f>'PARAMETROS DA CONTRATAÇÃO'!U10</f>
        <v>4.4472535049413925E-3</v>
      </c>
      <c r="G6" s="78">
        <f t="shared" si="6"/>
        <v>1.8530222937255801E-4</v>
      </c>
      <c r="H6" s="79">
        <f>'DEMAIS MÓDULOS'!$G$2+'DEMAIS MÓDULOS'!$G$26+Tabela3339[[#Totals],[Valor]]</f>
        <v>2618.5342719216956</v>
      </c>
      <c r="I6" s="79">
        <f t="shared" si="1"/>
        <v>0.48522023827553823</v>
      </c>
      <c r="L6" s="36" t="s">
        <v>410</v>
      </c>
      <c r="M6" s="36" t="s">
        <v>411</v>
      </c>
      <c r="N6" s="41">
        <v>15</v>
      </c>
      <c r="O6" s="78">
        <f t="shared" si="5"/>
        <v>0.5</v>
      </c>
      <c r="P6" s="78">
        <f t="shared" si="2"/>
        <v>8.3333333333333329E-2</v>
      </c>
      <c r="Q6" s="80">
        <f>'PARAMETROS DA CONTRATAÇÃO'!U10</f>
        <v>4.4472535049413925E-3</v>
      </c>
      <c r="R6" s="78">
        <f t="shared" si="7"/>
        <v>1.8530222937255801E-4</v>
      </c>
      <c r="S6" s="79">
        <f>SUM('DEMAIS MÓDULOS'!$G$3+'DEMAIS MÓDULOS'!$G$27+Tabela33[[#Totals],[Valor]])</f>
        <v>2251.4281458530309</v>
      </c>
      <c r="T6" s="79">
        <f t="shared" si="3"/>
        <v>0.41719465469869133</v>
      </c>
    </row>
    <row r="7" spans="1:20" ht="33" customHeight="1">
      <c r="A7" s="36" t="s">
        <v>412</v>
      </c>
      <c r="B7" s="36" t="s">
        <v>413</v>
      </c>
      <c r="C7" s="41">
        <v>120</v>
      </c>
      <c r="D7" s="78">
        <f t="shared" si="4"/>
        <v>4</v>
      </c>
      <c r="E7" s="78">
        <f t="shared" si="0"/>
        <v>8.3333333333333329E-2</v>
      </c>
      <c r="F7" s="80">
        <f>'PARAMETROS DA CONTRATAÇÃO'!U11</f>
        <v>7.0555315199999987E-4</v>
      </c>
      <c r="G7" s="78">
        <f t="shared" si="6"/>
        <v>2.3518438399999995E-4</v>
      </c>
      <c r="H7" s="79">
        <f>'DEMAIS MÓDULOS'!$G$2+'DEMAIS MÓDULOS'!$G$26+Tabela3339[[#Totals],[Valor]]</f>
        <v>2618.5342719216956</v>
      </c>
      <c r="I7" s="79">
        <f t="shared" si="1"/>
        <v>0.61583836972479233</v>
      </c>
      <c r="L7" s="36" t="s">
        <v>412</v>
      </c>
      <c r="M7" s="36" t="s">
        <v>413</v>
      </c>
      <c r="N7" s="41">
        <v>120</v>
      </c>
      <c r="O7" s="78">
        <f t="shared" si="5"/>
        <v>4</v>
      </c>
      <c r="P7" s="78">
        <f t="shared" si="2"/>
        <v>8.3333333333333329E-2</v>
      </c>
      <c r="Q7" s="80">
        <f>'PARAMETROS DA CONTRATAÇÃO'!U11</f>
        <v>7.0555315199999987E-4</v>
      </c>
      <c r="R7" s="78">
        <f t="shared" si="7"/>
        <v>2.3518438399999995E-4</v>
      </c>
      <c r="S7" s="79">
        <f>SUM('DEMAIS MÓDULOS'!$G$3+'DEMAIS MÓDULOS'!$G$27+Tabela33[[#Totals],[Valor]])</f>
        <v>2251.4281458530309</v>
      </c>
      <c r="T7" s="79">
        <f t="shared" si="3"/>
        <v>0.5295007416027071</v>
      </c>
    </row>
    <row r="8" spans="1:20" ht="33" customHeight="1">
      <c r="A8" s="36" t="s">
        <v>414</v>
      </c>
      <c r="B8" s="36" t="s">
        <v>415</v>
      </c>
      <c r="C8" s="41">
        <v>5.96</v>
      </c>
      <c r="D8" s="78">
        <f t="shared" si="4"/>
        <v>0.19866666666666666</v>
      </c>
      <c r="E8" s="78">
        <f t="shared" si="0"/>
        <v>8.3333333333333329E-2</v>
      </c>
      <c r="F8" s="81">
        <f>'PARAMETROS DA CONTRATAÇÃO'!U12</f>
        <v>1</v>
      </c>
      <c r="G8" s="78">
        <f t="shared" si="6"/>
        <v>1.6555555555555553E-2</v>
      </c>
      <c r="H8" s="79">
        <f>'DEMAIS MÓDULOS'!$G$2+'DEMAIS MÓDULOS'!$G$26+Tabela3339[[#Totals],[Valor]]</f>
        <v>2618.5342719216956</v>
      </c>
      <c r="I8" s="79">
        <f t="shared" si="1"/>
        <v>43.351289612925839</v>
      </c>
      <c r="L8" s="36" t="s">
        <v>414</v>
      </c>
      <c r="M8" s="36" t="s">
        <v>415</v>
      </c>
      <c r="N8" s="41">
        <v>5.96</v>
      </c>
      <c r="O8" s="78">
        <f t="shared" si="5"/>
        <v>0.19866666666666666</v>
      </c>
      <c r="P8" s="78">
        <f t="shared" si="2"/>
        <v>8.3333333333333329E-2</v>
      </c>
      <c r="Q8" s="81">
        <f>'PARAMETROS DA CONTRATAÇÃO'!U12</f>
        <v>1</v>
      </c>
      <c r="R8" s="78">
        <f t="shared" si="7"/>
        <v>1.6555555555555553E-2</v>
      </c>
      <c r="S8" s="79">
        <f>SUM('DEMAIS MÓDULOS'!$G$3+'DEMAIS MÓDULOS'!$G$27+Tabela33[[#Totals],[Valor]])</f>
        <v>2251.4281458530309</v>
      </c>
      <c r="T8" s="79">
        <f t="shared" si="3"/>
        <v>37.273643748011281</v>
      </c>
    </row>
    <row r="9" spans="1:20" ht="33" customHeight="1">
      <c r="A9" s="36" t="s">
        <v>414</v>
      </c>
      <c r="B9" s="36" t="s">
        <v>416</v>
      </c>
      <c r="C9" s="41">
        <v>2</v>
      </c>
      <c r="D9" s="78">
        <f t="shared" si="4"/>
        <v>6.6666666666666666E-2</v>
      </c>
      <c r="E9" s="78">
        <f t="shared" si="0"/>
        <v>8.3333333333333329E-2</v>
      </c>
      <c r="F9" s="81">
        <f>'PARAMETROS DA CONTRATAÇÃO'!U13</f>
        <v>0.13439999999999999</v>
      </c>
      <c r="G9" s="78">
        <f>F9*E9*D9</f>
        <v>7.4666666666666653E-4</v>
      </c>
      <c r="H9" s="79">
        <f>'DEMAIS MÓDULOS'!$G$2+'DEMAIS MÓDULOS'!$G$26+Tabela3339[[#Totals],[Valor]]</f>
        <v>2618.5342719216956</v>
      </c>
      <c r="I9" s="79">
        <f t="shared" si="1"/>
        <v>1.955172256368199</v>
      </c>
      <c r="L9" s="36" t="s">
        <v>414</v>
      </c>
      <c r="M9" s="36" t="s">
        <v>416</v>
      </c>
      <c r="N9" s="41">
        <v>2</v>
      </c>
      <c r="O9" s="78">
        <f t="shared" si="5"/>
        <v>6.6666666666666666E-2</v>
      </c>
      <c r="P9" s="78">
        <f t="shared" si="2"/>
        <v>8.3333333333333329E-2</v>
      </c>
      <c r="Q9" s="81">
        <f>'PARAMETROS DA CONTRATAÇÃO'!U13</f>
        <v>0.13439999999999999</v>
      </c>
      <c r="R9" s="78">
        <f>Q9*P9*O9</f>
        <v>7.4666666666666653E-4</v>
      </c>
      <c r="S9" s="79">
        <f>SUM('DEMAIS MÓDULOS'!$G$3+'DEMAIS MÓDULOS'!$G$27+Tabela33[[#Totals],[Valor]])</f>
        <v>2251.4281458530309</v>
      </c>
      <c r="T9" s="79">
        <f t="shared" si="3"/>
        <v>1.681066348903596</v>
      </c>
    </row>
    <row r="10" spans="1:20" ht="33" customHeight="1">
      <c r="A10" s="36" t="s">
        <v>414</v>
      </c>
      <c r="B10" s="36" t="s">
        <v>417</v>
      </c>
      <c r="C10" s="41">
        <v>2</v>
      </c>
      <c r="D10" s="78">
        <f t="shared" si="4"/>
        <v>6.6666666666666666E-2</v>
      </c>
      <c r="E10" s="78">
        <f t="shared" si="0"/>
        <v>8.3333333333333329E-2</v>
      </c>
      <c r="F10" s="81">
        <f>'PARAMETROS DA CONTRATAÇÃO'!U14</f>
        <v>3.0499999999999999E-2</v>
      </c>
      <c r="G10" s="78">
        <f t="shared" si="6"/>
        <v>1.6944444444444442E-4</v>
      </c>
      <c r="H10" s="79">
        <f>'DEMAIS MÓDULOS'!$G$2+'DEMAIS MÓDULOS'!$G$26+Tabela3339[[#Totals],[Valor]]</f>
        <v>2618.5342719216956</v>
      </c>
      <c r="I10" s="79">
        <f t="shared" si="1"/>
        <v>0.44369608496450946</v>
      </c>
      <c r="L10" s="36" t="s">
        <v>414</v>
      </c>
      <c r="M10" s="36" t="s">
        <v>417</v>
      </c>
      <c r="N10" s="41">
        <v>2</v>
      </c>
      <c r="O10" s="78">
        <f t="shared" si="5"/>
        <v>6.6666666666666666E-2</v>
      </c>
      <c r="P10" s="78">
        <f t="shared" si="2"/>
        <v>8.3333333333333329E-2</v>
      </c>
      <c r="Q10" s="81">
        <f>'PARAMETROS DA CONTRATAÇÃO'!U14</f>
        <v>3.0499999999999999E-2</v>
      </c>
      <c r="R10" s="78">
        <f t="shared" ref="R10:R14" si="8">Q10*P10*O10</f>
        <v>1.6944444444444442E-4</v>
      </c>
      <c r="S10" s="79">
        <f>SUM('DEMAIS MÓDULOS'!$G$3+'DEMAIS MÓDULOS'!$G$27+Tabela33[[#Totals],[Valor]])</f>
        <v>2251.4281458530309</v>
      </c>
      <c r="T10" s="79">
        <f t="shared" si="3"/>
        <v>0.38149199138065237</v>
      </c>
    </row>
    <row r="11" spans="1:20" ht="33" customHeight="1">
      <c r="A11" s="36" t="s">
        <v>414</v>
      </c>
      <c r="B11" s="36" t="s">
        <v>418</v>
      </c>
      <c r="C11" s="41">
        <v>3</v>
      </c>
      <c r="D11" s="78">
        <f t="shared" si="4"/>
        <v>0.1</v>
      </c>
      <c r="E11" s="78">
        <f t="shared" si="0"/>
        <v>8.3333333333333329E-2</v>
      </c>
      <c r="F11" s="81">
        <f>'PARAMETROS DA CONTRATAÇÃO'!U15</f>
        <v>1.18E-2</v>
      </c>
      <c r="G11" s="78">
        <f t="shared" si="6"/>
        <v>9.8333333333333329E-5</v>
      </c>
      <c r="H11" s="79">
        <f>'DEMAIS MÓDULOS'!$G$2+'DEMAIS MÓDULOS'!$G$26+Tabela3339[[#Totals],[Valor]]</f>
        <v>2618.5342719216956</v>
      </c>
      <c r="I11" s="79">
        <f t="shared" si="1"/>
        <v>0.25748920340563336</v>
      </c>
      <c r="L11" s="36" t="s">
        <v>414</v>
      </c>
      <c r="M11" s="36" t="s">
        <v>418</v>
      </c>
      <c r="N11" s="41">
        <v>3</v>
      </c>
      <c r="O11" s="78">
        <f t="shared" si="5"/>
        <v>0.1</v>
      </c>
      <c r="P11" s="78">
        <f t="shared" si="2"/>
        <v>8.3333333333333329E-2</v>
      </c>
      <c r="Q11" s="81">
        <f>'PARAMETROS DA CONTRATAÇÃO'!U15</f>
        <v>1.18E-2</v>
      </c>
      <c r="R11" s="78">
        <f t="shared" si="8"/>
        <v>9.8333333333333329E-5</v>
      </c>
      <c r="S11" s="79">
        <f>SUM('DEMAIS MÓDULOS'!$G$3+'DEMAIS MÓDULOS'!$G$27+Tabela33[[#Totals],[Valor]])</f>
        <v>2251.4281458530309</v>
      </c>
      <c r="T11" s="79">
        <f t="shared" si="3"/>
        <v>0.2213904343422147</v>
      </c>
    </row>
    <row r="12" spans="1:20" ht="33" customHeight="1">
      <c r="A12" s="36" t="s">
        <v>414</v>
      </c>
      <c r="B12" s="36" t="s">
        <v>419</v>
      </c>
      <c r="C12" s="41">
        <v>1</v>
      </c>
      <c r="D12" s="78">
        <f t="shared" si="4"/>
        <v>3.3333333333333333E-2</v>
      </c>
      <c r="E12" s="78">
        <f t="shared" si="0"/>
        <v>8.3333333333333329E-2</v>
      </c>
      <c r="F12" s="81">
        <f>'PARAMETROS DA CONTRATAÇÃO'!U16</f>
        <v>0.02</v>
      </c>
      <c r="G12" s="78">
        <f t="shared" si="6"/>
        <v>5.5555555555555551E-5</v>
      </c>
      <c r="H12" s="79">
        <f>'DEMAIS MÓDULOS'!$G$2+'DEMAIS MÓDULOS'!$G$26+Tabela3339[[#Totals],[Valor]]</f>
        <v>2618.5342719216956</v>
      </c>
      <c r="I12" s="79">
        <f t="shared" si="1"/>
        <v>0.14547412621787195</v>
      </c>
      <c r="L12" s="36" t="s">
        <v>414</v>
      </c>
      <c r="M12" s="36" t="s">
        <v>419</v>
      </c>
      <c r="N12" s="41">
        <v>1</v>
      </c>
      <c r="O12" s="78">
        <f t="shared" si="5"/>
        <v>3.3333333333333333E-2</v>
      </c>
      <c r="P12" s="78">
        <f t="shared" si="2"/>
        <v>8.3333333333333329E-2</v>
      </c>
      <c r="Q12" s="81">
        <f>'PARAMETROS DA CONTRATAÇÃO'!U16</f>
        <v>0.02</v>
      </c>
      <c r="R12" s="78">
        <f t="shared" si="8"/>
        <v>5.5555555555555551E-5</v>
      </c>
      <c r="S12" s="79">
        <f>SUM('DEMAIS MÓDULOS'!$G$3+'DEMAIS MÓDULOS'!$G$27+Tabela33[[#Totals],[Valor]])</f>
        <v>2251.4281458530309</v>
      </c>
      <c r="T12" s="79">
        <f t="shared" si="3"/>
        <v>0.1250793414362795</v>
      </c>
    </row>
    <row r="13" spans="1:20" ht="33" customHeight="1">
      <c r="A13" s="36" t="s">
        <v>414</v>
      </c>
      <c r="B13" s="36" t="s">
        <v>420</v>
      </c>
      <c r="C13" s="41">
        <v>1</v>
      </c>
      <c r="D13" s="78">
        <f t="shared" si="4"/>
        <v>3.3333333333333333E-2</v>
      </c>
      <c r="E13" s="78">
        <f t="shared" si="0"/>
        <v>8.3333333333333329E-2</v>
      </c>
      <c r="F13" s="81">
        <f>'PARAMETROS DA CONTRATAÇÃO'!U17</f>
        <v>4.0000000000000001E-3</v>
      </c>
      <c r="G13" s="78">
        <f t="shared" si="6"/>
        <v>1.111111111111111E-5</v>
      </c>
      <c r="H13" s="79">
        <f>'DEMAIS MÓDULOS'!$G$2+'DEMAIS MÓDULOS'!$G$26+Tabela3339[[#Totals],[Valor]]</f>
        <v>2618.5342719216956</v>
      </c>
      <c r="I13" s="79">
        <f t="shared" si="1"/>
        <v>2.9094825243574391E-2</v>
      </c>
      <c r="L13" s="36" t="s">
        <v>414</v>
      </c>
      <c r="M13" s="36" t="s">
        <v>420</v>
      </c>
      <c r="N13" s="41">
        <v>1</v>
      </c>
      <c r="O13" s="78">
        <f t="shared" si="5"/>
        <v>3.3333333333333333E-2</v>
      </c>
      <c r="P13" s="78">
        <f t="shared" si="2"/>
        <v>8.3333333333333329E-2</v>
      </c>
      <c r="Q13" s="81">
        <f>'PARAMETROS DA CONTRATAÇÃO'!U17</f>
        <v>4.0000000000000001E-3</v>
      </c>
      <c r="R13" s="78">
        <f t="shared" si="8"/>
        <v>1.111111111111111E-5</v>
      </c>
      <c r="S13" s="79">
        <f>SUM('DEMAIS MÓDULOS'!$G$3+'DEMAIS MÓDULOS'!$G$27+Tabela33[[#Totals],[Valor]])</f>
        <v>2251.4281458530309</v>
      </c>
      <c r="T13" s="79">
        <f t="shared" si="3"/>
        <v>2.5015868287255896E-2</v>
      </c>
    </row>
    <row r="14" spans="1:20" ht="33" customHeight="1">
      <c r="A14" s="36" t="s">
        <v>414</v>
      </c>
      <c r="B14" s="36" t="s">
        <v>421</v>
      </c>
      <c r="C14" s="41">
        <v>6</v>
      </c>
      <c r="D14" s="78">
        <f t="shared" si="4"/>
        <v>0.2</v>
      </c>
      <c r="E14" s="78">
        <f t="shared" si="0"/>
        <v>8.3333333333333329E-2</v>
      </c>
      <c r="F14" s="81">
        <f>'PARAMETROS DA CONTRATAÇÃO'!U18</f>
        <v>1.6000000000000001E-3</v>
      </c>
      <c r="G14" s="78">
        <f t="shared" si="6"/>
        <v>2.666666666666667E-5</v>
      </c>
      <c r="H14" s="79">
        <f>'DEMAIS MÓDULOS'!$G$2+'DEMAIS MÓDULOS'!$G$26+Tabela3339[[#Totals],[Valor]]</f>
        <v>2618.5342719216956</v>
      </c>
      <c r="I14" s="79">
        <f t="shared" si="1"/>
        <v>6.9827580584578552E-2</v>
      </c>
      <c r="L14" s="36" t="s">
        <v>414</v>
      </c>
      <c r="M14" s="36" t="s">
        <v>421</v>
      </c>
      <c r="N14" s="41">
        <v>6</v>
      </c>
      <c r="O14" s="78">
        <f t="shared" si="5"/>
        <v>0.2</v>
      </c>
      <c r="P14" s="78">
        <f t="shared" si="2"/>
        <v>8.3333333333333329E-2</v>
      </c>
      <c r="Q14" s="81">
        <f>'PARAMETROS DA CONTRATAÇÃO'!U18</f>
        <v>1.6000000000000001E-3</v>
      </c>
      <c r="R14" s="78">
        <f t="shared" si="8"/>
        <v>2.666666666666667E-5</v>
      </c>
      <c r="S14" s="79">
        <f>SUM('DEMAIS MÓDULOS'!$G$3+'DEMAIS MÓDULOS'!$G$27+Tabela33[[#Totals],[Valor]])</f>
        <v>2251.4281458530309</v>
      </c>
      <c r="T14" s="79">
        <f t="shared" si="3"/>
        <v>6.0038083889414166E-2</v>
      </c>
    </row>
    <row r="15" spans="1:20" ht="33" customHeight="1">
      <c r="A15" s="36" t="s">
        <v>422</v>
      </c>
      <c r="B15" s="36"/>
      <c r="C15" s="41"/>
      <c r="D15" s="75"/>
      <c r="E15" s="75"/>
      <c r="F15" s="75"/>
      <c r="G15" s="75"/>
      <c r="H15" s="76"/>
      <c r="I15" s="76">
        <f>SUBTOTAL(109,Tabela26[Custo Mensal])</f>
        <v>79.316192396547322</v>
      </c>
      <c r="L15" s="36" t="s">
        <v>422</v>
      </c>
      <c r="M15" s="36"/>
      <c r="N15" s="41"/>
      <c r="O15" s="75"/>
      <c r="P15" s="75"/>
      <c r="Q15" s="75"/>
      <c r="R15" s="75"/>
      <c r="S15" s="76"/>
      <c r="T15" s="76">
        <f>SUBTOTAL(109,Tabela2628[Custo Mensal])</f>
        <v>68.1964371817933</v>
      </c>
    </row>
    <row r="17" spans="1:2" ht="33" customHeight="1">
      <c r="A17" s="82"/>
      <c r="B17" s="52" t="s">
        <v>423</v>
      </c>
    </row>
    <row r="18" spans="1:2" ht="51">
      <c r="A18" s="84"/>
      <c r="B18" s="52" t="s">
        <v>424</v>
      </c>
    </row>
    <row r="19" spans="1:2" ht="12.75"/>
  </sheetData>
  <sheetProtection algorithmName="SHA-512" hashValue="gNfwpOf9DY0R6b9Kb2MYFveuHM7GQMofkKdKKI8+hOAdw4YwqGvfM90loKmZOXigxZ5Ne4DzKp3mdwXytvl8Sg==" saltValue="BZ/9SGQB9RspohB/oOY+6g==" spinCount="100000" sheet="1" objects="1" scenarios="1"/>
  <mergeCells count="2">
    <mergeCell ref="A1:I1"/>
    <mergeCell ref="L1:T1"/>
  </mergeCells>
  <pageMargins left="0.511811024" right="0.511811024" top="0.78740157499999996" bottom="0.78740157499999996" header="0.31496062000000002" footer="0.31496062000000002"/>
  <pageSetup orientation="portrait" r:id="rId1"/>
  <legacyDrawing r:id="rId2"/>
  <tableParts count="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B57"/>
  <sheetViews>
    <sheetView showGridLines="0" topLeftCell="G1" zoomScaleNormal="100" workbookViewId="0">
      <pane ySplit="1" topLeftCell="A2" activePane="bottomLeft" state="frozen"/>
      <selection activeCell="A1047956" sqref="A1047956"/>
      <selection pane="bottomLeft" activeCell="O3" sqref="O3"/>
    </sheetView>
  </sheetViews>
  <sheetFormatPr defaultColWidth="16.5703125" defaultRowHeight="12.75"/>
  <cols>
    <col min="1" max="1" width="10" style="314" customWidth="1"/>
    <col min="2" max="2" width="19.140625" style="314" bestFit="1" customWidth="1"/>
    <col min="3" max="3" width="21.42578125" style="314" bestFit="1" customWidth="1"/>
    <col min="4" max="4" width="15.28515625" style="314" customWidth="1"/>
    <col min="5" max="5" width="87.42578125" style="348" bestFit="1" customWidth="1"/>
    <col min="6" max="6" width="34.140625" style="349" bestFit="1" customWidth="1"/>
    <col min="7" max="7" width="18.7109375" style="350" customWidth="1"/>
    <col min="8" max="8" width="19" style="314" customWidth="1"/>
    <col min="9" max="9" width="19.28515625" style="314" customWidth="1"/>
    <col min="10" max="10" width="15.85546875" style="314" customWidth="1"/>
    <col min="11" max="11" width="16.85546875" style="335" customWidth="1"/>
    <col min="12" max="12" width="17.140625" style="351" customWidth="1"/>
    <col min="13" max="17" width="30.28515625" style="352" customWidth="1"/>
    <col min="18" max="18" width="22.28515625" style="314" customWidth="1"/>
    <col min="19" max="19" width="21.5703125" style="314" customWidth="1"/>
    <col min="20" max="20" width="18.28515625" style="314" customWidth="1"/>
    <col min="21" max="21" width="20" style="314" customWidth="1"/>
    <col min="22" max="22" width="17.5703125" style="314" customWidth="1"/>
    <col min="23" max="25" width="17.5703125" style="353" customWidth="1"/>
    <col min="26" max="26" width="17.28515625" style="314" customWidth="1"/>
    <col min="27" max="28" width="22.7109375" style="314" customWidth="1"/>
    <col min="29" max="6510" width="16.5703125" style="314" customWidth="1"/>
    <col min="6511" max="16384" width="16.5703125" style="314"/>
  </cols>
  <sheetData>
    <row r="1" spans="1:28" ht="62.25" customHeight="1">
      <c r="A1" s="303" t="s">
        <v>294</v>
      </c>
      <c r="B1" s="303" t="s">
        <v>287</v>
      </c>
      <c r="C1" s="303" t="s">
        <v>295</v>
      </c>
      <c r="D1" s="303" t="s">
        <v>286</v>
      </c>
      <c r="E1" s="304" t="s">
        <v>289</v>
      </c>
      <c r="F1" s="304" t="s">
        <v>348</v>
      </c>
      <c r="G1" s="305" t="s">
        <v>288</v>
      </c>
      <c r="H1" s="305" t="s">
        <v>222</v>
      </c>
      <c r="I1" s="305" t="s">
        <v>233</v>
      </c>
      <c r="J1" s="305" t="s">
        <v>293</v>
      </c>
      <c r="K1" s="306" t="s">
        <v>351</v>
      </c>
      <c r="L1" s="307" t="s">
        <v>358</v>
      </c>
      <c r="M1" s="308" t="s">
        <v>359</v>
      </c>
      <c r="N1" s="309" t="s">
        <v>626</v>
      </c>
      <c r="O1" s="309" t="s">
        <v>627</v>
      </c>
      <c r="P1" s="309" t="s">
        <v>628</v>
      </c>
      <c r="Q1" s="309" t="s">
        <v>629</v>
      </c>
      <c r="R1" s="310" t="s">
        <v>320</v>
      </c>
      <c r="S1" s="310" t="s">
        <v>321</v>
      </c>
      <c r="T1" s="310" t="s">
        <v>687</v>
      </c>
      <c r="U1" s="310" t="s">
        <v>688</v>
      </c>
      <c r="V1" s="310" t="s">
        <v>689</v>
      </c>
      <c r="W1" s="311" t="s">
        <v>360</v>
      </c>
      <c r="X1" s="312" t="s">
        <v>631</v>
      </c>
      <c r="Y1" s="312" t="s">
        <v>630</v>
      </c>
      <c r="Z1" s="313" t="s">
        <v>298</v>
      </c>
      <c r="AA1" s="304" t="s">
        <v>316</v>
      </c>
      <c r="AB1" s="304" t="s">
        <v>317</v>
      </c>
    </row>
    <row r="2" spans="1:28" ht="114.75">
      <c r="A2" s="315" t="s">
        <v>542</v>
      </c>
      <c r="B2" s="315" t="s">
        <v>290</v>
      </c>
      <c r="C2" s="315" t="s">
        <v>543</v>
      </c>
      <c r="D2" s="315" t="s">
        <v>544</v>
      </c>
      <c r="E2" s="316" t="s">
        <v>545</v>
      </c>
      <c r="F2" s="317" t="s">
        <v>323</v>
      </c>
      <c r="G2" s="318">
        <v>10.374000000000001</v>
      </c>
      <c r="H2" s="319" t="s">
        <v>341</v>
      </c>
      <c r="I2" s="319">
        <v>1200</v>
      </c>
      <c r="J2" s="319">
        <v>3</v>
      </c>
      <c r="K2" s="320">
        <f>IF(Tabela5[[#This Row],[Periodicidade]]="","",(VLOOKUP(Tabela5[[#This Row],[Periodicidade]],'PADRAO E REFERENCIA'!$F$3:$J$7,3,FALSE)*Tabela5[[#This Row],[Frequência]]))</f>
        <v>3</v>
      </c>
      <c r="L2" s="321">
        <f>IF(Tabela5[[#This Row],[Rotina Diária]]="","",Tabela5[[#This Row],[Tamanho Real]]*Tabela5[[#This Row],[Rotina Diária]])</f>
        <v>31.122</v>
      </c>
      <c r="M2" s="322">
        <f>Tabela5[[#This Row],[Área Efetiva em Diária]]/Tabela5[[#This Row],[Produtividade]]</f>
        <v>2.5935E-2</v>
      </c>
      <c r="N2" s="323">
        <f>(IF(Tabela5[[#This Row],[Produtividade]]="","",1/Tabela5[[#This Row],[Produtividade]]))</f>
        <v>8.3333333333333339E-4</v>
      </c>
      <c r="O2" s="323">
        <f>IF(Tabela5[[#This Row],[Produtividade]]="","",(VLOOKUP(Tabela5[[#This Row],[Periodicidade]],Tabela3[#All],2,FALSE)))</f>
        <v>220</v>
      </c>
      <c r="P2" s="323">
        <f>1/Tabela5[[#This Row],[Frequência de Horas no Mês]]</f>
        <v>4.5454545454545452E-3</v>
      </c>
      <c r="Q2" s="323">
        <f>Tabela5[[#This Row],[Jornada de Trabalho mês]]*Tabela5[[#This Row],[Frequência de Horas no Mês]]*Tabela5[[#This Row],[Produtividade (1/M2)]]</f>
        <v>8.3333333333333339E-4</v>
      </c>
      <c r="R2" s="324">
        <f>IF(Tabela5[[#This Row],[Atividades]]&lt;&gt;"Roçar",'PLANILHA DE CUSTOS'!$G$14,'PLANILHA DE CUSTOS'!$G$15)</f>
        <v>2710.1714579257778</v>
      </c>
      <c r="S2" s="324">
        <f>'PLANILHA DE CUSTOS'!$G$92</f>
        <v>3139.8850132792086</v>
      </c>
      <c r="T2" s="325">
        <f>IF(Tabela5[[#This Row],[Proporção de Horas Trabalhadas pela Produtividade Adotada2]]="","",Tabela5[[#This Row],[Proporção de Horas Trabalhadas pela Produtividade Adotada2]]*Tabela5[[#This Row],[ Valor Total por Agente de Limpeza ]])</f>
        <v>2.2584762149381481</v>
      </c>
      <c r="U2" s="325">
        <f>IF(Tabela5[[#This Row],[Proporção de Horas Trabalhadas pela Produtividade Adotada2]]="","",Tabela5[[#This Row],[ Valor Total por Líder de Serviços ]]/Tabela5[[#Totals],[Mão de Obras]]*Tabela5[[#This Row],[Proporção de Horas Trabalhadas pela Produtividade Adotada2]])</f>
        <v>0.52328361644387966</v>
      </c>
      <c r="V2" s="324">
        <f>IF(Tabela5[[#This Row],[Proporção de Horas Trabalhadas pela Produtividade Adotada2]]="","",Tabela5[[#This Row],[Custo do M2 limpo pelo Líder]]+Tabela5[[#This Row],[Custo do M2 limpo pelo Agente]])</f>
        <v>2.7817598313820278</v>
      </c>
      <c r="W2" s="326">
        <f>IF(Tabela5[[#This Row],[Proporção de Horas Trabalhadas pela Produtividade Adotada2]]="","",Tabela5[[#This Row],[Área Efetiva em Diária]])</f>
        <v>31.122</v>
      </c>
      <c r="X2" s="327">
        <f>Tabela5[[#This Row],[Custo do M2 limpo pelo Agente]]*Tabela5[[#This Row],[Área Efetiva em Diária]]</f>
        <v>70.288296761305048</v>
      </c>
      <c r="Y2" s="327">
        <f>Tabela5[[#This Row],[Custo do M2 limpo pelo Líder]]*Tabela5[[#This Row],[Área Efetiva em Diária]]</f>
        <v>16.285632710966421</v>
      </c>
      <c r="Z2" s="328">
        <f>IF(Tabela5[[#Totals],[Mão de Obras]]&lt;=4,Tabela5[[#This Row],[Custo do M2 limpo pelo Agente]]*Tabela5[[#This Row],[Área Final para Remuneração]],Tabela5[[#This Row],[Custo Total do M2 limpo]]*Tabela5[[#This Row],[Área Final para Remuneração]])</f>
        <v>86.573929472271473</v>
      </c>
      <c r="AA2" s="329">
        <f>IF(Tabela5[[#This Row],[Área Final para Remuneração]]="","",((Tabela5[[#This Row],[Área Efetiva em Diária]])*(8.8))/Tabela5[[#This Row],[Produtividade]]/24)</f>
        <v>9.5095000000000006E-3</v>
      </c>
      <c r="AB2" s="329">
        <f>IF(Tabela5[[#This Row],[Área Final para Remuneração]]="","",((Tabela5[[#This Row],[Área Efetiva em Diária]])*(8.8))/Tabela5[[#This Row],[Produtividade]]/24*Tabela5[[#This Row],[Frequência]])</f>
        <v>2.8528500000000002E-2</v>
      </c>
    </row>
    <row r="3" spans="1:28" ht="89.25">
      <c r="A3" s="315" t="s">
        <v>542</v>
      </c>
      <c r="B3" s="315" t="s">
        <v>546</v>
      </c>
      <c r="C3" s="315" t="s">
        <v>543</v>
      </c>
      <c r="D3" s="315" t="s">
        <v>544</v>
      </c>
      <c r="E3" s="316" t="s">
        <v>547</v>
      </c>
      <c r="F3" s="317" t="s">
        <v>324</v>
      </c>
      <c r="G3" s="318">
        <v>40.85</v>
      </c>
      <c r="H3" s="319" t="s">
        <v>341</v>
      </c>
      <c r="I3" s="319">
        <v>390</v>
      </c>
      <c r="J3" s="319">
        <v>3</v>
      </c>
      <c r="K3" s="320">
        <f>IF(Tabela5[[#This Row],[Periodicidade]]="","",(VLOOKUP(Tabela5[[#This Row],[Periodicidade]],'PADRAO E REFERENCIA'!$F$3:$J$7,3,FALSE)*Tabela5[[#This Row],[Frequência]]))</f>
        <v>3</v>
      </c>
      <c r="L3" s="321">
        <f>IF(Tabela5[[#This Row],[Rotina Diária]]="","",Tabela5[[#This Row],[Tamanho Real]]*Tabela5[[#This Row],[Rotina Diária]])</f>
        <v>122.55000000000001</v>
      </c>
      <c r="M3" s="322">
        <f>Tabela5[[#This Row],[Área Efetiva em Diária]]/Tabela5[[#This Row],[Produtividade]]</f>
        <v>0.31423076923076926</v>
      </c>
      <c r="N3" s="323">
        <f>(IF(Tabela5[[#This Row],[Produtividade]]="","",1/Tabela5[[#This Row],[Produtividade]]))</f>
        <v>2.5641025641025641E-3</v>
      </c>
      <c r="O3" s="323">
        <f>IF(Tabela5[[#This Row],[Produtividade]]="","",(VLOOKUP(Tabela5[[#This Row],[Periodicidade]],Tabela3[#All],2,FALSE)))</f>
        <v>220</v>
      </c>
      <c r="P3" s="323">
        <f>1/Tabela5[[#This Row],[Frequência de Horas no Mês]]</f>
        <v>4.5454545454545452E-3</v>
      </c>
      <c r="Q3" s="323">
        <f>Tabela5[[#This Row],[Jornada de Trabalho mês]]*Tabela5[[#This Row],[Frequência de Horas no Mês]]*Tabela5[[#This Row],[Produtividade (1/M2)]]</f>
        <v>2.5641025641025641E-3</v>
      </c>
      <c r="R3" s="324">
        <f>IF(Tabela5[[#This Row],[Atividades]]&lt;&gt;"Roçar",'PLANILHA DE CUSTOS'!$G$14,'PLANILHA DE CUSTOS'!$G$15)</f>
        <v>2710.1714579257778</v>
      </c>
      <c r="S3" s="324">
        <f>'PLANILHA DE CUSTOS'!$G$92</f>
        <v>3139.8850132792086</v>
      </c>
      <c r="T3" s="325">
        <f>IF(Tabela5[[#This Row],[Proporção de Horas Trabalhadas pela Produtividade Adotada2]]="","",Tabela5[[#This Row],[Proporção de Horas Trabalhadas pela Produtividade Adotada2]]*Tabela5[[#This Row],[ Valor Total por Agente de Limpeza ]])</f>
        <v>6.9491575844250715</v>
      </c>
      <c r="U3" s="325">
        <f>IF(Tabela5[[#This Row],[Proporção de Horas Trabalhadas pela Produtividade Adotada2]]="","",Tabela5[[#This Row],[ Valor Total por Líder de Serviços ]]/Tabela5[[#Totals],[Mão de Obras]]*Tabela5[[#This Row],[Proporção de Horas Trabalhadas pela Produtividade Adotada2]])</f>
        <v>1.6101034352119372</v>
      </c>
      <c r="V3" s="324">
        <f>IF(Tabela5[[#This Row],[Proporção de Horas Trabalhadas pela Produtividade Adotada2]]="","",Tabela5[[#This Row],[Custo do M2 limpo pelo Líder]]+Tabela5[[#This Row],[Custo do M2 limpo pelo Agente]])</f>
        <v>8.5592610196370096</v>
      </c>
      <c r="W3" s="326">
        <f>IF(Tabela5[[#This Row],[Proporção de Horas Trabalhadas pela Produtividade Adotada2]]="","",Tabela5[[#This Row],[Área Efetiva em Diária]])</f>
        <v>122.55000000000001</v>
      </c>
      <c r="X3" s="327">
        <f>Tabela5[[#This Row],[Custo do M2 limpo pelo Agente]]*Tabela5[[#This Row],[Área Efetiva em Diária]]</f>
        <v>851.61926197129264</v>
      </c>
      <c r="Y3" s="327">
        <f>Tabela5[[#This Row],[Custo do M2 limpo pelo Líder]]*Tabela5[[#This Row],[Área Efetiva em Diária]]</f>
        <v>197.31817598522292</v>
      </c>
      <c r="Z3" s="328">
        <f>IF(Tabela5[[#Totals],[Mão de Obras]]&lt;=4,Tabela5[[#This Row],[Custo do M2 limpo pelo Agente]]*Tabela5[[#This Row],[Área Final para Remuneração]],Tabela5[[#This Row],[Custo Total do M2 limpo]]*Tabela5[[#This Row],[Área Final para Remuneração]])</f>
        <v>1048.9374379565156</v>
      </c>
      <c r="AA3" s="329">
        <f>IF(Tabela5[[#This Row],[Área Final para Remuneração]]="","",((Tabela5[[#This Row],[Área Efetiva em Diária]])*(8.8))/Tabela5[[#This Row],[Produtividade]]/24)</f>
        <v>0.11521794871794876</v>
      </c>
      <c r="AB3" s="329">
        <f>IF(Tabela5[[#This Row],[Área Final para Remuneração]]="","",((Tabela5[[#This Row],[Área Efetiva em Diária]])*(8.8))/Tabela5[[#This Row],[Produtividade]]/24*Tabela5[[#This Row],[Frequência]])</f>
        <v>0.34565384615384626</v>
      </c>
    </row>
    <row r="4" spans="1:28" ht="114.75">
      <c r="A4" s="330" t="s">
        <v>542</v>
      </c>
      <c r="B4" s="330" t="s">
        <v>548</v>
      </c>
      <c r="C4" s="330" t="s">
        <v>543</v>
      </c>
      <c r="D4" s="330" t="s">
        <v>544</v>
      </c>
      <c r="E4" s="316" t="s">
        <v>549</v>
      </c>
      <c r="F4" s="317" t="s">
        <v>323</v>
      </c>
      <c r="G4" s="318">
        <v>19.95</v>
      </c>
      <c r="H4" s="319" t="s">
        <v>341</v>
      </c>
      <c r="I4" s="319">
        <v>1200</v>
      </c>
      <c r="J4" s="319">
        <v>3</v>
      </c>
      <c r="K4" s="320">
        <f>IF(Tabela5[[#This Row],[Periodicidade]]="","",(VLOOKUP(Tabela5[[#This Row],[Periodicidade]],'PADRAO E REFERENCIA'!$F$3:$J$7,3,FALSE)*Tabela5[[#This Row],[Frequência]]))</f>
        <v>3</v>
      </c>
      <c r="L4" s="321">
        <f>IF(Tabela5[[#This Row],[Rotina Diária]]="","",Tabela5[[#This Row],[Tamanho Real]]*Tabela5[[#This Row],[Rotina Diária]])</f>
        <v>59.849999999999994</v>
      </c>
      <c r="M4" s="322">
        <f>Tabela5[[#This Row],[Área Efetiva em Diária]]/Tabela5[[#This Row],[Produtividade]]</f>
        <v>4.9874999999999996E-2</v>
      </c>
      <c r="N4" s="323">
        <f>(IF(Tabela5[[#This Row],[Produtividade]]="","",1/Tabela5[[#This Row],[Produtividade]]))</f>
        <v>8.3333333333333339E-4</v>
      </c>
      <c r="O4" s="323">
        <f>IF(Tabela5[[#This Row],[Produtividade]]="","",(VLOOKUP(Tabela5[[#This Row],[Periodicidade]],Tabela3[#All],2,FALSE)))</f>
        <v>220</v>
      </c>
      <c r="P4" s="323">
        <f>1/Tabela5[[#This Row],[Frequência de Horas no Mês]]</f>
        <v>4.5454545454545452E-3</v>
      </c>
      <c r="Q4" s="323">
        <f>Tabela5[[#This Row],[Jornada de Trabalho mês]]*Tabela5[[#This Row],[Frequência de Horas no Mês]]*Tabela5[[#This Row],[Produtividade (1/M2)]]</f>
        <v>8.3333333333333339E-4</v>
      </c>
      <c r="R4" s="324">
        <f>IF(Tabela5[[#This Row],[Atividades]]&lt;&gt;"Roçar",'PLANILHA DE CUSTOS'!$G$14,'PLANILHA DE CUSTOS'!$G$15)</f>
        <v>2710.1714579257778</v>
      </c>
      <c r="S4" s="324">
        <f>'PLANILHA DE CUSTOS'!$G$92</f>
        <v>3139.8850132792086</v>
      </c>
      <c r="T4" s="325">
        <f>IF(Tabela5[[#This Row],[Proporção de Horas Trabalhadas pela Produtividade Adotada2]]="","",Tabela5[[#This Row],[Proporção de Horas Trabalhadas pela Produtividade Adotada2]]*Tabela5[[#This Row],[ Valor Total por Agente de Limpeza ]])</f>
        <v>2.2584762149381481</v>
      </c>
      <c r="U4" s="325">
        <f>IF(Tabela5[[#This Row],[Proporção de Horas Trabalhadas pela Produtividade Adotada2]]="","",Tabela5[[#This Row],[ Valor Total por Líder de Serviços ]]/Tabela5[[#Totals],[Mão de Obras]]*Tabela5[[#This Row],[Proporção de Horas Trabalhadas pela Produtividade Adotada2]])</f>
        <v>0.52328361644387966</v>
      </c>
      <c r="V4" s="324">
        <f>IF(Tabela5[[#This Row],[Proporção de Horas Trabalhadas pela Produtividade Adotada2]]="","",Tabela5[[#This Row],[Custo do M2 limpo pelo Líder]]+Tabela5[[#This Row],[Custo do M2 limpo pelo Agente]])</f>
        <v>2.7817598313820278</v>
      </c>
      <c r="W4" s="326">
        <f>IF(Tabela5[[#This Row],[Proporção de Horas Trabalhadas pela Produtividade Adotada2]]="","",Tabela5[[#This Row],[Área Efetiva em Diária]])</f>
        <v>59.849999999999994</v>
      </c>
      <c r="X4" s="327">
        <f>Tabela5[[#This Row],[Custo do M2 limpo pelo Agente]]*Tabela5[[#This Row],[Área Efetiva em Diária]]</f>
        <v>135.16980146404816</v>
      </c>
      <c r="Y4" s="327">
        <f>Tabela5[[#This Row],[Custo do M2 limpo pelo Líder]]*Tabela5[[#This Row],[Área Efetiva em Diária]]</f>
        <v>31.318524444166194</v>
      </c>
      <c r="Z4" s="328">
        <f>IF(Tabela5[[#Totals],[Mão de Obras]]&lt;=4,Tabela5[[#This Row],[Custo do M2 limpo pelo Agente]]*Tabela5[[#This Row],[Área Final para Remuneração]],Tabela5[[#This Row],[Custo Total do M2 limpo]]*Tabela5[[#This Row],[Área Final para Remuneração]])</f>
        <v>166.48832590821434</v>
      </c>
      <c r="AA4" s="329">
        <f>IF(Tabela5[[#This Row],[Área Final para Remuneração]]="","",((Tabela5[[#This Row],[Área Efetiva em Diária]])*(8.8))/Tabela5[[#This Row],[Produtividade]]/24)</f>
        <v>1.8287499999999998E-2</v>
      </c>
      <c r="AB4" s="329">
        <f>IF(Tabela5[[#This Row],[Área Final para Remuneração]]="","",((Tabela5[[#This Row],[Área Efetiva em Diária]])*(8.8))/Tabela5[[#This Row],[Produtividade]]/24*Tabela5[[#This Row],[Frequência]])</f>
        <v>5.4862499999999995E-2</v>
      </c>
    </row>
    <row r="5" spans="1:28" ht="102">
      <c r="A5" s="330" t="s">
        <v>542</v>
      </c>
      <c r="B5" s="330" t="s">
        <v>550</v>
      </c>
      <c r="C5" s="330" t="s">
        <v>543</v>
      </c>
      <c r="D5" s="330" t="s">
        <v>544</v>
      </c>
      <c r="E5" s="316" t="s">
        <v>551</v>
      </c>
      <c r="F5" s="317" t="s">
        <v>323</v>
      </c>
      <c r="G5" s="318">
        <v>10.07</v>
      </c>
      <c r="H5" s="319" t="s">
        <v>341</v>
      </c>
      <c r="I5" s="319">
        <v>1200</v>
      </c>
      <c r="J5" s="319">
        <v>3</v>
      </c>
      <c r="K5" s="320">
        <f>IF(Tabela5[[#This Row],[Periodicidade]]="","",(VLOOKUP(Tabela5[[#This Row],[Periodicidade]],'PADRAO E REFERENCIA'!$F$3:$J$7,3,FALSE)*Tabela5[[#This Row],[Frequência]]))</f>
        <v>3</v>
      </c>
      <c r="L5" s="321">
        <f>IF(Tabela5[[#This Row],[Rotina Diária]]="","",Tabela5[[#This Row],[Tamanho Real]]*Tabela5[[#This Row],[Rotina Diária]])</f>
        <v>30.21</v>
      </c>
      <c r="M5" s="322">
        <f>Tabela5[[#This Row],[Área Efetiva em Diária]]/Tabela5[[#This Row],[Produtividade]]</f>
        <v>2.5174999999999999E-2</v>
      </c>
      <c r="N5" s="323">
        <f>(IF(Tabela5[[#This Row],[Produtividade]]="","",1/Tabela5[[#This Row],[Produtividade]]))</f>
        <v>8.3333333333333339E-4</v>
      </c>
      <c r="O5" s="323">
        <f>IF(Tabela5[[#This Row],[Produtividade]]="","",(VLOOKUP(Tabela5[[#This Row],[Periodicidade]],Tabela3[#All],2,FALSE)))</f>
        <v>220</v>
      </c>
      <c r="P5" s="323">
        <f>1/Tabela5[[#This Row],[Frequência de Horas no Mês]]</f>
        <v>4.5454545454545452E-3</v>
      </c>
      <c r="Q5" s="323">
        <f>Tabela5[[#This Row],[Jornada de Trabalho mês]]*Tabela5[[#This Row],[Frequência de Horas no Mês]]*Tabela5[[#This Row],[Produtividade (1/M2)]]</f>
        <v>8.3333333333333339E-4</v>
      </c>
      <c r="R5" s="324">
        <f>IF(Tabela5[[#This Row],[Atividades]]&lt;&gt;"Roçar",'PLANILHA DE CUSTOS'!$G$14,'PLANILHA DE CUSTOS'!$G$15)</f>
        <v>2710.1714579257778</v>
      </c>
      <c r="S5" s="324">
        <f>'PLANILHA DE CUSTOS'!$G$92</f>
        <v>3139.8850132792086</v>
      </c>
      <c r="T5" s="325">
        <f>IF(Tabela5[[#This Row],[Proporção de Horas Trabalhadas pela Produtividade Adotada2]]="","",Tabela5[[#This Row],[Proporção de Horas Trabalhadas pela Produtividade Adotada2]]*Tabela5[[#This Row],[ Valor Total por Agente de Limpeza ]])</f>
        <v>2.2584762149381481</v>
      </c>
      <c r="U5" s="325">
        <f>IF(Tabela5[[#This Row],[Proporção de Horas Trabalhadas pela Produtividade Adotada2]]="","",Tabela5[[#This Row],[ Valor Total por Líder de Serviços ]]/Tabela5[[#Totals],[Mão de Obras]]*Tabela5[[#This Row],[Proporção de Horas Trabalhadas pela Produtividade Adotada2]])</f>
        <v>0.52328361644387966</v>
      </c>
      <c r="V5" s="324">
        <f>IF(Tabela5[[#This Row],[Proporção de Horas Trabalhadas pela Produtividade Adotada2]]="","",Tabela5[[#This Row],[Custo do M2 limpo pelo Líder]]+Tabela5[[#This Row],[Custo do M2 limpo pelo Agente]])</f>
        <v>2.7817598313820278</v>
      </c>
      <c r="W5" s="326">
        <f>IF(Tabela5[[#This Row],[Proporção de Horas Trabalhadas pela Produtividade Adotada2]]="","",Tabela5[[#This Row],[Área Efetiva em Diária]])</f>
        <v>30.21</v>
      </c>
      <c r="X5" s="327">
        <f>Tabela5[[#This Row],[Custo do M2 limpo pelo Agente]]*Tabela5[[#This Row],[Área Efetiva em Diária]]</f>
        <v>68.228566453281459</v>
      </c>
      <c r="Y5" s="327">
        <f>Tabela5[[#This Row],[Custo do M2 limpo pelo Líder]]*Tabela5[[#This Row],[Área Efetiva em Diária]]</f>
        <v>15.808398052769604</v>
      </c>
      <c r="Z5" s="328">
        <f>IF(Tabela5[[#Totals],[Mão de Obras]]&lt;=4,Tabela5[[#This Row],[Custo do M2 limpo pelo Agente]]*Tabela5[[#This Row],[Área Final para Remuneração]],Tabela5[[#This Row],[Custo Total do M2 limpo]]*Tabela5[[#This Row],[Área Final para Remuneração]])</f>
        <v>84.036964506051063</v>
      </c>
      <c r="AA5" s="329">
        <f>IF(Tabela5[[#This Row],[Área Final para Remuneração]]="","",((Tabela5[[#This Row],[Área Efetiva em Diária]])*(8.8))/Tabela5[[#This Row],[Produtividade]]/24)</f>
        <v>9.2308333333333339E-3</v>
      </c>
      <c r="AB5" s="329">
        <f>IF(Tabela5[[#This Row],[Área Final para Remuneração]]="","",((Tabela5[[#This Row],[Área Efetiva em Diária]])*(8.8))/Tabela5[[#This Row],[Produtividade]]/24*Tabela5[[#This Row],[Frequência]])</f>
        <v>2.7692500000000002E-2</v>
      </c>
    </row>
    <row r="6" spans="1:28" ht="114.75">
      <c r="A6" s="330" t="s">
        <v>542</v>
      </c>
      <c r="B6" s="330" t="s">
        <v>552</v>
      </c>
      <c r="C6" s="330" t="s">
        <v>543</v>
      </c>
      <c r="D6" s="330" t="s">
        <v>544</v>
      </c>
      <c r="E6" s="316" t="s">
        <v>549</v>
      </c>
      <c r="F6" s="317" t="s">
        <v>323</v>
      </c>
      <c r="G6" s="318">
        <v>11.4</v>
      </c>
      <c r="H6" s="319" t="s">
        <v>341</v>
      </c>
      <c r="I6" s="319">
        <v>1200</v>
      </c>
      <c r="J6" s="319">
        <v>3</v>
      </c>
      <c r="K6" s="320">
        <f>IF(Tabela5[[#This Row],[Periodicidade]]="","",(VLOOKUP(Tabela5[[#This Row],[Periodicidade]],'PADRAO E REFERENCIA'!$F$3:$J$7,3,FALSE)*Tabela5[[#This Row],[Frequência]]))</f>
        <v>3</v>
      </c>
      <c r="L6" s="321">
        <f>IF(Tabela5[[#This Row],[Rotina Diária]]="","",Tabela5[[#This Row],[Tamanho Real]]*Tabela5[[#This Row],[Rotina Diária]])</f>
        <v>34.200000000000003</v>
      </c>
      <c r="M6" s="322">
        <f>Tabela5[[#This Row],[Área Efetiva em Diária]]/Tabela5[[#This Row],[Produtividade]]</f>
        <v>2.8500000000000001E-2</v>
      </c>
      <c r="N6" s="323">
        <f>(IF(Tabela5[[#This Row],[Produtividade]]="","",1/Tabela5[[#This Row],[Produtividade]]))</f>
        <v>8.3333333333333339E-4</v>
      </c>
      <c r="O6" s="323">
        <f>IF(Tabela5[[#This Row],[Produtividade]]="","",(VLOOKUP(Tabela5[[#This Row],[Periodicidade]],Tabela3[#All],2,FALSE)))</f>
        <v>220</v>
      </c>
      <c r="P6" s="323">
        <f>1/Tabela5[[#This Row],[Frequência de Horas no Mês]]</f>
        <v>4.5454545454545452E-3</v>
      </c>
      <c r="Q6" s="323">
        <f>Tabela5[[#This Row],[Jornada de Trabalho mês]]*Tabela5[[#This Row],[Frequência de Horas no Mês]]*Tabela5[[#This Row],[Produtividade (1/M2)]]</f>
        <v>8.3333333333333339E-4</v>
      </c>
      <c r="R6" s="324">
        <f>IF(Tabela5[[#This Row],[Atividades]]&lt;&gt;"Roçar",'PLANILHA DE CUSTOS'!$G$14,'PLANILHA DE CUSTOS'!$G$15)</f>
        <v>2710.1714579257778</v>
      </c>
      <c r="S6" s="324">
        <f>'PLANILHA DE CUSTOS'!$G$92</f>
        <v>3139.8850132792086</v>
      </c>
      <c r="T6" s="325">
        <f>IF(Tabela5[[#This Row],[Proporção de Horas Trabalhadas pela Produtividade Adotada2]]="","",Tabela5[[#This Row],[Proporção de Horas Trabalhadas pela Produtividade Adotada2]]*Tabela5[[#This Row],[ Valor Total por Agente de Limpeza ]])</f>
        <v>2.2584762149381481</v>
      </c>
      <c r="U6" s="325">
        <f>IF(Tabela5[[#This Row],[Proporção de Horas Trabalhadas pela Produtividade Adotada2]]="","",Tabela5[[#This Row],[ Valor Total por Líder de Serviços ]]/Tabela5[[#Totals],[Mão de Obras]]*Tabela5[[#This Row],[Proporção de Horas Trabalhadas pela Produtividade Adotada2]])</f>
        <v>0.52328361644387966</v>
      </c>
      <c r="V6" s="324">
        <f>IF(Tabela5[[#This Row],[Proporção de Horas Trabalhadas pela Produtividade Adotada2]]="","",Tabela5[[#This Row],[Custo do M2 limpo pelo Líder]]+Tabela5[[#This Row],[Custo do M2 limpo pelo Agente]])</f>
        <v>2.7817598313820278</v>
      </c>
      <c r="W6" s="326">
        <f>IF(Tabela5[[#This Row],[Proporção de Horas Trabalhadas pela Produtividade Adotada2]]="","",Tabela5[[#This Row],[Área Efetiva em Diária]])</f>
        <v>34.200000000000003</v>
      </c>
      <c r="X6" s="327">
        <f>Tabela5[[#This Row],[Custo do M2 limpo pelo Agente]]*Tabela5[[#This Row],[Área Efetiva em Diária]]</f>
        <v>77.239886550884677</v>
      </c>
      <c r="Y6" s="327">
        <f>Tabela5[[#This Row],[Custo do M2 limpo pelo Líder]]*Tabela5[[#This Row],[Área Efetiva em Diária]]</f>
        <v>17.896299682380686</v>
      </c>
      <c r="Z6" s="328">
        <f>IF(Tabela5[[#Totals],[Mão de Obras]]&lt;=4,Tabela5[[#This Row],[Custo do M2 limpo pelo Agente]]*Tabela5[[#This Row],[Área Final para Remuneração]],Tabela5[[#This Row],[Custo Total do M2 limpo]]*Tabela5[[#This Row],[Área Final para Remuneração]])</f>
        <v>95.136186233265363</v>
      </c>
      <c r="AA6" s="329">
        <f>IF(Tabela5[[#This Row],[Área Final para Remuneração]]="","",((Tabela5[[#This Row],[Área Efetiva em Diária]])*(8.8))/Tabela5[[#This Row],[Produtividade]]/24)</f>
        <v>1.0450000000000001E-2</v>
      </c>
      <c r="AB6" s="329">
        <f>IF(Tabela5[[#This Row],[Área Final para Remuneração]]="","",((Tabela5[[#This Row],[Área Efetiva em Diária]])*(8.8))/Tabela5[[#This Row],[Produtividade]]/24*Tabela5[[#This Row],[Frequência]])</f>
        <v>3.1350000000000003E-2</v>
      </c>
    </row>
    <row r="7" spans="1:28" ht="51">
      <c r="A7" s="330" t="s">
        <v>542</v>
      </c>
      <c r="B7" s="330" t="s">
        <v>553</v>
      </c>
      <c r="C7" s="315" t="s">
        <v>543</v>
      </c>
      <c r="D7" s="330" t="s">
        <v>544</v>
      </c>
      <c r="E7" s="316" t="s">
        <v>554</v>
      </c>
      <c r="F7" s="317" t="s">
        <v>328</v>
      </c>
      <c r="G7" s="318">
        <v>13.8</v>
      </c>
      <c r="H7" s="319" t="s">
        <v>341</v>
      </c>
      <c r="I7" s="319">
        <v>300</v>
      </c>
      <c r="J7" s="319">
        <v>3</v>
      </c>
      <c r="K7" s="320">
        <f>IF(Tabela5[[#This Row],[Periodicidade]]="","",(VLOOKUP(Tabela5[[#This Row],[Periodicidade]],'PADRAO E REFERENCIA'!$F$3:$J$7,3,FALSE)*Tabela5[[#This Row],[Frequência]]))</f>
        <v>3</v>
      </c>
      <c r="L7" s="321">
        <f>IF(Tabela5[[#This Row],[Rotina Diária]]="","",Tabela5[[#This Row],[Tamanho Real]]*Tabela5[[#This Row],[Rotina Diária]])</f>
        <v>41.400000000000006</v>
      </c>
      <c r="M7" s="322">
        <f>Tabela5[[#This Row],[Área Efetiva em Diária]]/Tabela5[[#This Row],[Produtividade]]</f>
        <v>0.13800000000000001</v>
      </c>
      <c r="N7" s="323">
        <f>(IF(Tabela5[[#This Row],[Produtividade]]="","",1/Tabela5[[#This Row],[Produtividade]]))</f>
        <v>3.3333333333333335E-3</v>
      </c>
      <c r="O7" s="323">
        <f>IF(Tabela5[[#This Row],[Produtividade]]="","",(VLOOKUP(Tabela5[[#This Row],[Periodicidade]],Tabela3[#All],2,FALSE)))</f>
        <v>220</v>
      </c>
      <c r="P7" s="323">
        <f>1/Tabela5[[#This Row],[Frequência de Horas no Mês]]</f>
        <v>4.5454545454545452E-3</v>
      </c>
      <c r="Q7" s="323">
        <f>Tabela5[[#This Row],[Jornada de Trabalho mês]]*Tabela5[[#This Row],[Frequência de Horas no Mês]]*Tabela5[[#This Row],[Produtividade (1/M2)]]</f>
        <v>3.3333333333333335E-3</v>
      </c>
      <c r="R7" s="324">
        <f>IF(Tabela5[[#This Row],[Atividades]]&lt;&gt;"Roçar",'PLANILHA DE CUSTOS'!$G$14,'PLANILHA DE CUSTOS'!$G$15)</f>
        <v>2710.1714579257778</v>
      </c>
      <c r="S7" s="324">
        <f>'PLANILHA DE CUSTOS'!$G$92</f>
        <v>3139.8850132792086</v>
      </c>
      <c r="T7" s="325">
        <f>IF(Tabela5[[#This Row],[Proporção de Horas Trabalhadas pela Produtividade Adotada2]]="","",Tabela5[[#This Row],[Proporção de Horas Trabalhadas pela Produtividade Adotada2]]*Tabela5[[#This Row],[ Valor Total por Agente de Limpeza ]])</f>
        <v>9.0339048597525924</v>
      </c>
      <c r="U7" s="325">
        <f>IF(Tabela5[[#This Row],[Proporção de Horas Trabalhadas pela Produtividade Adotada2]]="","",Tabela5[[#This Row],[ Valor Total por Líder de Serviços ]]/Tabela5[[#Totals],[Mão de Obras]]*Tabela5[[#This Row],[Proporção de Horas Trabalhadas pela Produtividade Adotada2]])</f>
        <v>2.0931344657755186</v>
      </c>
      <c r="V7" s="324">
        <f>IF(Tabela5[[#This Row],[Proporção de Horas Trabalhadas pela Produtividade Adotada2]]="","",Tabela5[[#This Row],[Custo do M2 limpo pelo Líder]]+Tabela5[[#This Row],[Custo do M2 limpo pelo Agente]])</f>
        <v>11.127039325528111</v>
      </c>
      <c r="W7" s="326">
        <f>IF(Tabela5[[#This Row],[Proporção de Horas Trabalhadas pela Produtividade Adotada2]]="","",Tabela5[[#This Row],[Área Efetiva em Diária]])</f>
        <v>41.400000000000006</v>
      </c>
      <c r="X7" s="327">
        <f>Tabela5[[#This Row],[Custo do M2 limpo pelo Agente]]*Tabela5[[#This Row],[Área Efetiva em Diária]]</f>
        <v>374.00366119375735</v>
      </c>
      <c r="Y7" s="327">
        <f>Tabela5[[#This Row],[Custo do M2 limpo pelo Líder]]*Tabela5[[#This Row],[Área Efetiva em Diária]]</f>
        <v>86.65576688310648</v>
      </c>
      <c r="Z7" s="328">
        <f>IF(Tabela5[[#Totals],[Mão de Obras]]&lt;=4,Tabela5[[#This Row],[Custo do M2 limpo pelo Agente]]*Tabela5[[#This Row],[Área Final para Remuneração]],Tabela5[[#This Row],[Custo Total do M2 limpo]]*Tabela5[[#This Row],[Área Final para Remuneração]])</f>
        <v>460.65942807686383</v>
      </c>
      <c r="AA7" s="329">
        <f>IF(Tabela5[[#This Row],[Área Final para Remuneração]]="","",((Tabela5[[#This Row],[Área Efetiva em Diária]])*(8.8))/Tabela5[[#This Row],[Produtividade]]/24)</f>
        <v>5.0600000000000013E-2</v>
      </c>
      <c r="AB7" s="329">
        <f>IF(Tabela5[[#This Row],[Área Final para Remuneração]]="","",((Tabela5[[#This Row],[Área Efetiva em Diária]])*(8.8))/Tabela5[[#This Row],[Produtividade]]/24*Tabela5[[#This Row],[Frequência]])</f>
        <v>0.15180000000000005</v>
      </c>
    </row>
    <row r="8" spans="1:28" ht="140.25">
      <c r="A8" s="330" t="s">
        <v>542</v>
      </c>
      <c r="B8" s="330" t="s">
        <v>555</v>
      </c>
      <c r="C8" s="330" t="s">
        <v>543</v>
      </c>
      <c r="D8" s="330" t="s">
        <v>544</v>
      </c>
      <c r="E8" s="316" t="s">
        <v>556</v>
      </c>
      <c r="F8" s="317" t="s">
        <v>323</v>
      </c>
      <c r="G8" s="318">
        <v>40.020000000000003</v>
      </c>
      <c r="H8" s="319" t="s">
        <v>341</v>
      </c>
      <c r="I8" s="319">
        <v>1200</v>
      </c>
      <c r="J8" s="319">
        <v>3</v>
      </c>
      <c r="K8" s="320">
        <f>IF(Tabela5[[#This Row],[Periodicidade]]="","",(VLOOKUP(Tabela5[[#This Row],[Periodicidade]],'PADRAO E REFERENCIA'!$F$3:$J$7,3,FALSE)*Tabela5[[#This Row],[Frequência]]))</f>
        <v>3</v>
      </c>
      <c r="L8" s="321">
        <f>IF(Tabela5[[#This Row],[Rotina Diária]]="","",Tabela5[[#This Row],[Tamanho Real]]*Tabela5[[#This Row],[Rotina Diária]])</f>
        <v>120.06</v>
      </c>
      <c r="M8" s="322">
        <f>Tabela5[[#This Row],[Área Efetiva em Diária]]/Tabela5[[#This Row],[Produtividade]]</f>
        <v>0.10005</v>
      </c>
      <c r="N8" s="323">
        <f>(IF(Tabela5[[#This Row],[Produtividade]]="","",1/Tabela5[[#This Row],[Produtividade]]))</f>
        <v>8.3333333333333339E-4</v>
      </c>
      <c r="O8" s="323">
        <f>IF(Tabela5[[#This Row],[Produtividade]]="","",(VLOOKUP(Tabela5[[#This Row],[Periodicidade]],Tabela3[#All],2,FALSE)))</f>
        <v>220</v>
      </c>
      <c r="P8" s="323">
        <f>1/Tabela5[[#This Row],[Frequência de Horas no Mês]]</f>
        <v>4.5454545454545452E-3</v>
      </c>
      <c r="Q8" s="323">
        <f>Tabela5[[#This Row],[Jornada de Trabalho mês]]*Tabela5[[#This Row],[Frequência de Horas no Mês]]*Tabela5[[#This Row],[Produtividade (1/M2)]]</f>
        <v>8.3333333333333339E-4</v>
      </c>
      <c r="R8" s="324">
        <f>IF(Tabela5[[#This Row],[Atividades]]&lt;&gt;"Roçar",'PLANILHA DE CUSTOS'!$G$14,'PLANILHA DE CUSTOS'!$G$15)</f>
        <v>2710.1714579257778</v>
      </c>
      <c r="S8" s="324">
        <f>'PLANILHA DE CUSTOS'!$G$92</f>
        <v>3139.8850132792086</v>
      </c>
      <c r="T8" s="325">
        <f>IF(Tabela5[[#This Row],[Proporção de Horas Trabalhadas pela Produtividade Adotada2]]="","",Tabela5[[#This Row],[Proporção de Horas Trabalhadas pela Produtividade Adotada2]]*Tabela5[[#This Row],[ Valor Total por Agente de Limpeza ]])</f>
        <v>2.2584762149381481</v>
      </c>
      <c r="U8" s="325">
        <f>IF(Tabela5[[#This Row],[Proporção de Horas Trabalhadas pela Produtividade Adotada2]]="","",Tabela5[[#This Row],[ Valor Total por Líder de Serviços ]]/Tabela5[[#Totals],[Mão de Obras]]*Tabela5[[#This Row],[Proporção de Horas Trabalhadas pela Produtividade Adotada2]])</f>
        <v>0.52328361644387966</v>
      </c>
      <c r="V8" s="324">
        <f>IF(Tabela5[[#This Row],[Proporção de Horas Trabalhadas pela Produtividade Adotada2]]="","",Tabela5[[#This Row],[Custo do M2 limpo pelo Líder]]+Tabela5[[#This Row],[Custo do M2 limpo pelo Agente]])</f>
        <v>2.7817598313820278</v>
      </c>
      <c r="W8" s="326">
        <f>IF(Tabela5[[#This Row],[Proporção de Horas Trabalhadas pela Produtividade Adotada2]]="","",Tabela5[[#This Row],[Área Efetiva em Diária]])</f>
        <v>120.06</v>
      </c>
      <c r="X8" s="327">
        <f>Tabela5[[#This Row],[Custo do M2 limpo pelo Agente]]*Tabela5[[#This Row],[Área Efetiva em Diária]]</f>
        <v>271.15265436547406</v>
      </c>
      <c r="Y8" s="327">
        <f>Tabela5[[#This Row],[Custo do M2 limpo pelo Líder]]*Tabela5[[#This Row],[Área Efetiva em Diária]]</f>
        <v>62.825430990252194</v>
      </c>
      <c r="Z8" s="328">
        <f>IF(Tabela5[[#Totals],[Mão de Obras]]&lt;=4,Tabela5[[#This Row],[Custo do M2 limpo pelo Agente]]*Tabela5[[#This Row],[Área Final para Remuneração]],Tabela5[[#This Row],[Custo Total do M2 limpo]]*Tabela5[[#This Row],[Área Final para Remuneração]])</f>
        <v>333.97808535572625</v>
      </c>
      <c r="AA8" s="329">
        <f>IF(Tabela5[[#This Row],[Área Final para Remuneração]]="","",((Tabela5[[#This Row],[Área Efetiva em Diária]])*(8.8))/Tabela5[[#This Row],[Produtividade]]/24)</f>
        <v>3.6685000000000002E-2</v>
      </c>
      <c r="AB8" s="329">
        <f>IF(Tabela5[[#This Row],[Área Final para Remuneração]]="","",((Tabela5[[#This Row],[Área Efetiva em Diária]])*(8.8))/Tabela5[[#This Row],[Produtividade]]/24*Tabela5[[#This Row],[Frequência]])</f>
        <v>0.11005500000000001</v>
      </c>
    </row>
    <row r="9" spans="1:28" ht="140.25">
      <c r="A9" s="330" t="s">
        <v>542</v>
      </c>
      <c r="B9" s="330" t="s">
        <v>557</v>
      </c>
      <c r="C9" s="330" t="s">
        <v>543</v>
      </c>
      <c r="D9" s="330" t="s">
        <v>544</v>
      </c>
      <c r="E9" s="316" t="s">
        <v>556</v>
      </c>
      <c r="F9" s="317" t="s">
        <v>323</v>
      </c>
      <c r="G9" s="318">
        <v>39.67</v>
      </c>
      <c r="H9" s="319" t="s">
        <v>341</v>
      </c>
      <c r="I9" s="319">
        <v>1200</v>
      </c>
      <c r="J9" s="319">
        <v>3</v>
      </c>
      <c r="K9" s="320">
        <f>IF(Tabela5[[#This Row],[Periodicidade]]="","",(VLOOKUP(Tabela5[[#This Row],[Periodicidade]],'PADRAO E REFERENCIA'!$F$3:$J$7,3,FALSE)*Tabela5[[#This Row],[Frequência]]))</f>
        <v>3</v>
      </c>
      <c r="L9" s="321">
        <f>IF(Tabela5[[#This Row],[Rotina Diária]]="","",Tabela5[[#This Row],[Tamanho Real]]*Tabela5[[#This Row],[Rotina Diária]])</f>
        <v>119.01</v>
      </c>
      <c r="M9" s="322">
        <f>Tabela5[[#This Row],[Área Efetiva em Diária]]/Tabela5[[#This Row],[Produtividade]]</f>
        <v>9.9174999999999999E-2</v>
      </c>
      <c r="N9" s="323">
        <f>(IF(Tabela5[[#This Row],[Produtividade]]="","",1/Tabela5[[#This Row],[Produtividade]]))</f>
        <v>8.3333333333333339E-4</v>
      </c>
      <c r="O9" s="323">
        <f>IF(Tabela5[[#This Row],[Produtividade]]="","",(VLOOKUP(Tabela5[[#This Row],[Periodicidade]],Tabela3[#All],2,FALSE)))</f>
        <v>220</v>
      </c>
      <c r="P9" s="323">
        <f>1/Tabela5[[#This Row],[Frequência de Horas no Mês]]</f>
        <v>4.5454545454545452E-3</v>
      </c>
      <c r="Q9" s="323">
        <f>Tabela5[[#This Row],[Jornada de Trabalho mês]]*Tabela5[[#This Row],[Frequência de Horas no Mês]]*Tabela5[[#This Row],[Produtividade (1/M2)]]</f>
        <v>8.3333333333333339E-4</v>
      </c>
      <c r="R9" s="324">
        <f>IF(Tabela5[[#This Row],[Atividades]]&lt;&gt;"Roçar",'PLANILHA DE CUSTOS'!$G$14,'PLANILHA DE CUSTOS'!$G$15)</f>
        <v>2710.1714579257778</v>
      </c>
      <c r="S9" s="324">
        <f>'PLANILHA DE CUSTOS'!$G$92</f>
        <v>3139.8850132792086</v>
      </c>
      <c r="T9" s="325">
        <f>IF(Tabela5[[#This Row],[Proporção de Horas Trabalhadas pela Produtividade Adotada2]]="","",Tabela5[[#This Row],[Proporção de Horas Trabalhadas pela Produtividade Adotada2]]*Tabela5[[#This Row],[ Valor Total por Agente de Limpeza ]])</f>
        <v>2.2584762149381481</v>
      </c>
      <c r="U9" s="325">
        <f>IF(Tabela5[[#This Row],[Proporção de Horas Trabalhadas pela Produtividade Adotada2]]="","",Tabela5[[#This Row],[ Valor Total por Líder de Serviços ]]/Tabela5[[#Totals],[Mão de Obras]]*Tabela5[[#This Row],[Proporção de Horas Trabalhadas pela Produtividade Adotada2]])</f>
        <v>0.52328361644387966</v>
      </c>
      <c r="V9" s="324">
        <f>IF(Tabela5[[#This Row],[Proporção de Horas Trabalhadas pela Produtividade Adotada2]]="","",Tabela5[[#This Row],[Custo do M2 limpo pelo Líder]]+Tabela5[[#This Row],[Custo do M2 limpo pelo Agente]])</f>
        <v>2.7817598313820278</v>
      </c>
      <c r="W9" s="326">
        <f>IF(Tabela5[[#This Row],[Proporção de Horas Trabalhadas pela Produtividade Adotada2]]="","",Tabela5[[#This Row],[Área Efetiva em Diária]])</f>
        <v>119.01</v>
      </c>
      <c r="X9" s="327">
        <f>Tabela5[[#This Row],[Custo do M2 limpo pelo Agente]]*Tabela5[[#This Row],[Área Efetiva em Diária]]</f>
        <v>268.78125433978903</v>
      </c>
      <c r="Y9" s="327">
        <f>Tabela5[[#This Row],[Custo do M2 limpo pelo Líder]]*Tabela5[[#This Row],[Área Efetiva em Diária]]</f>
        <v>62.275983192986118</v>
      </c>
      <c r="Z9" s="328">
        <f>IF(Tabela5[[#Totals],[Mão de Obras]]&lt;=4,Tabela5[[#This Row],[Custo do M2 limpo pelo Agente]]*Tabela5[[#This Row],[Área Final para Remuneração]],Tabela5[[#This Row],[Custo Total do M2 limpo]]*Tabela5[[#This Row],[Área Final para Remuneração]])</f>
        <v>331.05723753277516</v>
      </c>
      <c r="AA9" s="329">
        <f>IF(Tabela5[[#This Row],[Área Final para Remuneração]]="","",((Tabela5[[#This Row],[Área Efetiva em Diária]])*(8.8))/Tabela5[[#This Row],[Produtividade]]/24)</f>
        <v>3.6364166666666677E-2</v>
      </c>
      <c r="AB9" s="329">
        <f>IF(Tabela5[[#This Row],[Área Final para Remuneração]]="","",((Tabela5[[#This Row],[Área Efetiva em Diária]])*(8.8))/Tabela5[[#This Row],[Produtividade]]/24*Tabela5[[#This Row],[Frequência]])</f>
        <v>0.10909250000000004</v>
      </c>
    </row>
    <row r="10" spans="1:28" ht="38.25">
      <c r="A10" s="330" t="s">
        <v>542</v>
      </c>
      <c r="B10" s="330" t="s">
        <v>558</v>
      </c>
      <c r="C10" s="330" t="s">
        <v>559</v>
      </c>
      <c r="D10" s="330" t="s">
        <v>544</v>
      </c>
      <c r="E10" s="316" t="s">
        <v>560</v>
      </c>
      <c r="F10" s="317" t="s">
        <v>329</v>
      </c>
      <c r="G10" s="318">
        <v>26.4</v>
      </c>
      <c r="H10" s="319" t="s">
        <v>342</v>
      </c>
      <c r="I10" s="319">
        <v>2700</v>
      </c>
      <c r="J10" s="319">
        <v>2</v>
      </c>
      <c r="K10" s="320">
        <f>IF(Tabela5[[#This Row],[Periodicidade]]="","",(VLOOKUP(Tabela5[[#This Row],[Periodicidade]],'PADRAO E REFERENCIA'!$F$3:$J$7,3,FALSE)*Tabela5[[#This Row],[Frequência]]))</f>
        <v>0.4</v>
      </c>
      <c r="L10" s="321">
        <f>IF(Tabela5[[#This Row],[Rotina Diária]]="","",Tabela5[[#This Row],[Tamanho Real]]*Tabela5[[#This Row],[Rotina Diária]])</f>
        <v>10.56</v>
      </c>
      <c r="M10" s="322">
        <f>Tabela5[[#This Row],[Área Efetiva em Diária]]/Tabela5[[#This Row],[Produtividade]]</f>
        <v>3.9111111111111109E-3</v>
      </c>
      <c r="N10" s="323">
        <f>(IF(Tabela5[[#This Row],[Produtividade]]="","",1/Tabela5[[#This Row],[Produtividade]]))</f>
        <v>3.7037037037037035E-4</v>
      </c>
      <c r="O10" s="323">
        <f>IF(Tabela5[[#This Row],[Produtividade]]="","",(VLOOKUP(Tabela5[[#This Row],[Periodicidade]],Tabela3[#All],2,FALSE)))</f>
        <v>44</v>
      </c>
      <c r="P10" s="323">
        <f>1/Tabela5[[#This Row],[Frequência de Horas no Mês]]</f>
        <v>2.2727272727272728E-2</v>
      </c>
      <c r="Q10" s="323">
        <f>Tabela5[[#This Row],[Jornada de Trabalho mês]]*Tabela5[[#This Row],[Frequência de Horas no Mês]]*Tabela5[[#This Row],[Produtividade (1/M2)]]</f>
        <v>3.7037037037037035E-4</v>
      </c>
      <c r="R10" s="324">
        <f>IF(Tabela5[[#This Row],[Atividades]]&lt;&gt;"Roçar",'PLANILHA DE CUSTOS'!$G$14,'PLANILHA DE CUSTOS'!$G$15)</f>
        <v>2710.1714579257778</v>
      </c>
      <c r="S10" s="324">
        <f>'PLANILHA DE CUSTOS'!$G$92</f>
        <v>3139.8850132792086</v>
      </c>
      <c r="T10" s="325">
        <f>IF(Tabela5[[#This Row],[Proporção de Horas Trabalhadas pela Produtividade Adotada2]]="","",Tabela5[[#This Row],[Proporção de Horas Trabalhadas pela Produtividade Adotada2]]*Tabela5[[#This Row],[ Valor Total por Agente de Limpeza ]])</f>
        <v>1.003767206639177</v>
      </c>
      <c r="U10" s="325">
        <f>IF(Tabela5[[#This Row],[Proporção de Horas Trabalhadas pela Produtividade Adotada2]]="","",Tabela5[[#This Row],[ Valor Total por Líder de Serviços ]]/Tabela5[[#Totals],[Mão de Obras]]*Tabela5[[#This Row],[Proporção de Horas Trabalhadas pela Produtividade Adotada2]])</f>
        <v>0.23257049619727979</v>
      </c>
      <c r="V10" s="324">
        <f>IF(Tabela5[[#This Row],[Proporção de Horas Trabalhadas pela Produtividade Adotada2]]="","",Tabela5[[#This Row],[Custo do M2 limpo pelo Líder]]+Tabela5[[#This Row],[Custo do M2 limpo pelo Agente]])</f>
        <v>1.2363377028364568</v>
      </c>
      <c r="W10" s="326">
        <f>IF(Tabela5[[#This Row],[Proporção de Horas Trabalhadas pela Produtividade Adotada2]]="","",Tabela5[[#This Row],[Área Efetiva em Diária]])</f>
        <v>10.56</v>
      </c>
      <c r="X10" s="327">
        <f>Tabela5[[#This Row],[Custo do M2 limpo pelo Agente]]*Tabela5[[#This Row],[Área Efetiva em Diária]]</f>
        <v>10.599781702109709</v>
      </c>
      <c r="Y10" s="327">
        <f>Tabela5[[#This Row],[Custo do M2 limpo pelo Líder]]*Tabela5[[#This Row],[Área Efetiva em Diária]]</f>
        <v>2.4559444398432748</v>
      </c>
      <c r="Z10" s="328">
        <f>IF(Tabela5[[#Totals],[Mão de Obras]]&lt;=4,Tabela5[[#This Row],[Custo do M2 limpo pelo Agente]]*Tabela5[[#This Row],[Área Final para Remuneração]],Tabela5[[#This Row],[Custo Total do M2 limpo]]*Tabela5[[#This Row],[Área Final para Remuneração]])</f>
        <v>13.055726141952984</v>
      </c>
      <c r="AA10" s="329">
        <f>IF(Tabela5[[#This Row],[Área Final para Remuneração]]="","",((Tabela5[[#This Row],[Área Efetiva em Diária]])*(8.8))/Tabela5[[#This Row],[Produtividade]]/24)</f>
        <v>1.4340740740740744E-3</v>
      </c>
      <c r="AB10" s="329">
        <f>IF(Tabela5[[#This Row],[Área Final para Remuneração]]="","",((Tabela5[[#This Row],[Área Efetiva em Diária]])*(8.8))/Tabela5[[#This Row],[Produtividade]]/24*Tabela5[[#This Row],[Frequência]])</f>
        <v>2.8681481481481487E-3</v>
      </c>
    </row>
    <row r="11" spans="1:28" ht="38.25">
      <c r="A11" s="330" t="s">
        <v>542</v>
      </c>
      <c r="B11" s="330" t="s">
        <v>561</v>
      </c>
      <c r="C11" s="330" t="s">
        <v>559</v>
      </c>
      <c r="D11" s="330" t="s">
        <v>544</v>
      </c>
      <c r="E11" s="316" t="s">
        <v>560</v>
      </c>
      <c r="F11" s="317" t="s">
        <v>329</v>
      </c>
      <c r="G11" s="318">
        <v>77</v>
      </c>
      <c r="H11" s="319" t="s">
        <v>342</v>
      </c>
      <c r="I11" s="319">
        <v>2700</v>
      </c>
      <c r="J11" s="319">
        <v>2</v>
      </c>
      <c r="K11" s="320">
        <f>IF(Tabela5[[#This Row],[Periodicidade]]="","",(VLOOKUP(Tabela5[[#This Row],[Periodicidade]],'PADRAO E REFERENCIA'!$F$3:$J$7,3,FALSE)*Tabela5[[#This Row],[Frequência]]))</f>
        <v>0.4</v>
      </c>
      <c r="L11" s="321">
        <f>IF(Tabela5[[#This Row],[Rotina Diária]]="","",Tabela5[[#This Row],[Tamanho Real]]*Tabela5[[#This Row],[Rotina Diária]])</f>
        <v>30.8</v>
      </c>
      <c r="M11" s="322">
        <f>Tabela5[[#This Row],[Área Efetiva em Diária]]/Tabela5[[#This Row],[Produtividade]]</f>
        <v>1.1407407407407408E-2</v>
      </c>
      <c r="N11" s="331">
        <f>(IF(Tabela5[[#This Row],[Produtividade]]="","",1/Tabela5[[#This Row],[Produtividade]]))</f>
        <v>3.7037037037037035E-4</v>
      </c>
      <c r="O11" s="331">
        <f>IF(Tabela5[[#This Row],[Produtividade]]="","",(VLOOKUP(Tabela5[[#This Row],[Periodicidade]],Tabela3[#All],2,FALSE)))</f>
        <v>44</v>
      </c>
      <c r="P11" s="331">
        <f>1/Tabela5[[#This Row],[Frequência de Horas no Mês]]</f>
        <v>2.2727272727272728E-2</v>
      </c>
      <c r="Q11" s="331">
        <f>Tabela5[[#This Row],[Jornada de Trabalho mês]]*Tabela5[[#This Row],[Frequência de Horas no Mês]]*Tabela5[[#This Row],[Produtividade (1/M2)]]</f>
        <v>3.7037037037037035E-4</v>
      </c>
      <c r="R11" s="332">
        <f>IF(Tabela5[[#This Row],[Atividades]]&lt;&gt;"Roçar",'PLANILHA DE CUSTOS'!$G$14,'PLANILHA DE CUSTOS'!$G$15)</f>
        <v>2710.1714579257778</v>
      </c>
      <c r="S11" s="324">
        <f>'PLANILHA DE CUSTOS'!$G$92</f>
        <v>3139.8850132792086</v>
      </c>
      <c r="T11" s="325">
        <f>IF(Tabela5[[#This Row],[Proporção de Horas Trabalhadas pela Produtividade Adotada2]]="","",Tabela5[[#This Row],[Proporção de Horas Trabalhadas pela Produtividade Adotada2]]*Tabela5[[#This Row],[ Valor Total por Agente de Limpeza ]])</f>
        <v>1.003767206639177</v>
      </c>
      <c r="U11" s="325">
        <f>IF(Tabela5[[#This Row],[Proporção de Horas Trabalhadas pela Produtividade Adotada2]]="","",Tabela5[[#This Row],[ Valor Total por Líder de Serviços ]]/Tabela5[[#Totals],[Mão de Obras]]*Tabela5[[#This Row],[Proporção de Horas Trabalhadas pela Produtividade Adotada2]])</f>
        <v>0.23257049619727979</v>
      </c>
      <c r="V11" s="324">
        <f>IF(Tabela5[[#This Row],[Proporção de Horas Trabalhadas pela Produtividade Adotada2]]="","",Tabela5[[#This Row],[Custo do M2 limpo pelo Líder]]+Tabela5[[#This Row],[Custo do M2 limpo pelo Agente]])</f>
        <v>1.2363377028364568</v>
      </c>
      <c r="W11" s="326">
        <f>IF(Tabela5[[#This Row],[Proporção de Horas Trabalhadas pela Produtividade Adotada2]]="","",Tabela5[[#This Row],[Área Efetiva em Diária]])</f>
        <v>30.8</v>
      </c>
      <c r="X11" s="327">
        <f>Tabela5[[#This Row],[Custo do M2 limpo pelo Agente]]*Tabela5[[#This Row],[Área Efetiva em Diária]]</f>
        <v>30.916029964486651</v>
      </c>
      <c r="Y11" s="327">
        <f>Tabela5[[#This Row],[Custo do M2 limpo pelo Líder]]*Tabela5[[#This Row],[Área Efetiva em Diária]]</f>
        <v>7.1631712828762177</v>
      </c>
      <c r="Z11" s="328">
        <f>IF(Tabela5[[#Totals],[Mão de Obras]]&lt;=4,Tabela5[[#This Row],[Custo do M2 limpo pelo Agente]]*Tabela5[[#This Row],[Área Final para Remuneração]],Tabela5[[#This Row],[Custo Total do M2 limpo]]*Tabela5[[#This Row],[Área Final para Remuneração]])</f>
        <v>38.079201247362874</v>
      </c>
      <c r="AA11" s="329">
        <f>IF(Tabela5[[#This Row],[Área Final para Remuneração]]="","",((Tabela5[[#This Row],[Área Efetiva em Diária]])*(8.8))/Tabela5[[#This Row],[Produtividade]]/24)</f>
        <v>4.1827160493827162E-3</v>
      </c>
      <c r="AB11" s="329">
        <f>IF(Tabela5[[#This Row],[Área Final para Remuneração]]="","",((Tabela5[[#This Row],[Área Efetiva em Diária]])*(8.8))/Tabela5[[#This Row],[Produtividade]]/24*Tabela5[[#This Row],[Frequência]])</f>
        <v>8.3654320987654324E-3</v>
      </c>
    </row>
    <row r="12" spans="1:28" ht="140.25">
      <c r="A12" s="333" t="s">
        <v>542</v>
      </c>
      <c r="B12" s="333" t="s">
        <v>562</v>
      </c>
      <c r="C12" s="333" t="s">
        <v>543</v>
      </c>
      <c r="D12" s="333" t="s">
        <v>544</v>
      </c>
      <c r="E12" s="334" t="s">
        <v>556</v>
      </c>
      <c r="F12" s="317" t="s">
        <v>323</v>
      </c>
      <c r="G12" s="318">
        <v>39</v>
      </c>
      <c r="H12" s="319" t="s">
        <v>341</v>
      </c>
      <c r="I12" s="319">
        <v>1200</v>
      </c>
      <c r="J12" s="319">
        <v>3</v>
      </c>
      <c r="K12" s="320">
        <f>IF(Tabela5[[#This Row],[Periodicidade]]="","",(VLOOKUP(Tabela5[[#This Row],[Periodicidade]],'PADRAO E REFERENCIA'!$F$3:$J$7,3,FALSE)*Tabela5[[#This Row],[Frequência]]))</f>
        <v>3</v>
      </c>
      <c r="L12" s="321">
        <f>IF(Tabela5[[#This Row],[Rotina Diária]]="","",Tabela5[[#This Row],[Tamanho Real]]*Tabela5[[#This Row],[Rotina Diária]])</f>
        <v>117</v>
      </c>
      <c r="M12" s="322">
        <f>Tabela5[[#This Row],[Área Efetiva em Diária]]/Tabela5[[#This Row],[Produtividade]]</f>
        <v>9.7500000000000003E-2</v>
      </c>
      <c r="N12" s="331">
        <f>(IF(Tabela5[[#This Row],[Produtividade]]="","",1/Tabela5[[#This Row],[Produtividade]]))</f>
        <v>8.3333333333333339E-4</v>
      </c>
      <c r="O12" s="331">
        <f>IF(Tabela5[[#This Row],[Produtividade]]="","",(VLOOKUP(Tabela5[[#This Row],[Periodicidade]],Tabela3[#All],2,FALSE)))</f>
        <v>220</v>
      </c>
      <c r="P12" s="331">
        <f>1/Tabela5[[#This Row],[Frequência de Horas no Mês]]</f>
        <v>4.5454545454545452E-3</v>
      </c>
      <c r="Q12" s="331">
        <f>Tabela5[[#This Row],[Jornada de Trabalho mês]]*Tabela5[[#This Row],[Frequência de Horas no Mês]]*Tabela5[[#This Row],[Produtividade (1/M2)]]</f>
        <v>8.3333333333333339E-4</v>
      </c>
      <c r="R12" s="332">
        <f>IF(Tabela5[[#This Row],[Atividades]]&lt;&gt;"Roçar",'PLANILHA DE CUSTOS'!$G$14,'PLANILHA DE CUSTOS'!$G$15)</f>
        <v>2710.1714579257778</v>
      </c>
      <c r="S12" s="324">
        <f>'PLANILHA DE CUSTOS'!$G$92</f>
        <v>3139.8850132792086</v>
      </c>
      <c r="T12" s="325">
        <f>IF(Tabela5[[#This Row],[Proporção de Horas Trabalhadas pela Produtividade Adotada2]]="","",Tabela5[[#This Row],[Proporção de Horas Trabalhadas pela Produtividade Adotada2]]*Tabela5[[#This Row],[ Valor Total por Agente de Limpeza ]])</f>
        <v>2.2584762149381481</v>
      </c>
      <c r="U12" s="325">
        <f>IF(Tabela5[[#This Row],[Proporção de Horas Trabalhadas pela Produtividade Adotada2]]="","",Tabela5[[#This Row],[ Valor Total por Líder de Serviços ]]/Tabela5[[#Totals],[Mão de Obras]]*Tabela5[[#This Row],[Proporção de Horas Trabalhadas pela Produtividade Adotada2]])</f>
        <v>0.52328361644387966</v>
      </c>
      <c r="V12" s="324">
        <f>IF(Tabela5[[#This Row],[Proporção de Horas Trabalhadas pela Produtividade Adotada2]]="","",Tabela5[[#This Row],[Custo do M2 limpo pelo Líder]]+Tabela5[[#This Row],[Custo do M2 limpo pelo Agente]])</f>
        <v>2.7817598313820278</v>
      </c>
      <c r="W12" s="326">
        <f>IF(Tabela5[[#This Row],[Proporção de Horas Trabalhadas pela Produtividade Adotada2]]="","",Tabela5[[#This Row],[Área Efetiva em Diária]])</f>
        <v>117</v>
      </c>
      <c r="X12" s="327">
        <f>Tabela5[[#This Row],[Custo do M2 limpo pelo Agente]]*Tabela5[[#This Row],[Área Efetiva em Diária]]</f>
        <v>264.24171714776332</v>
      </c>
      <c r="Y12" s="327">
        <f>Tabela5[[#This Row],[Custo do M2 limpo pelo Líder]]*Tabela5[[#This Row],[Área Efetiva em Diária]]</f>
        <v>61.224183123933919</v>
      </c>
      <c r="Z12" s="328">
        <f>IF(Tabela5[[#Totals],[Mão de Obras]]&lt;=4,Tabela5[[#This Row],[Custo do M2 limpo pelo Agente]]*Tabela5[[#This Row],[Área Final para Remuneração]],Tabela5[[#This Row],[Custo Total do M2 limpo]]*Tabela5[[#This Row],[Área Final para Remuneração]])</f>
        <v>325.46590027169725</v>
      </c>
      <c r="AA12" s="329">
        <f>IF(Tabela5[[#This Row],[Área Final para Remuneração]]="","",((Tabela5[[#This Row],[Área Efetiva em Diária]])*(8.8))/Tabela5[[#This Row],[Produtividade]]/24)</f>
        <v>3.5750000000000004E-2</v>
      </c>
      <c r="AB12" s="329">
        <f>IF(Tabela5[[#This Row],[Área Final para Remuneração]]="","",((Tabela5[[#This Row],[Área Efetiva em Diária]])*(8.8))/Tabela5[[#This Row],[Produtividade]]/24*Tabela5[[#This Row],[Frequência]])</f>
        <v>0.10725000000000001</v>
      </c>
    </row>
    <row r="13" spans="1:28" ht="140.25">
      <c r="A13" s="333" t="s">
        <v>542</v>
      </c>
      <c r="B13" s="333" t="s">
        <v>563</v>
      </c>
      <c r="C13" s="333" t="s">
        <v>543</v>
      </c>
      <c r="D13" s="333" t="s">
        <v>544</v>
      </c>
      <c r="E13" s="334" t="s">
        <v>556</v>
      </c>
      <c r="F13" s="317" t="s">
        <v>323</v>
      </c>
      <c r="G13" s="318">
        <v>39</v>
      </c>
      <c r="H13" s="319" t="s">
        <v>341</v>
      </c>
      <c r="I13" s="319">
        <v>1200</v>
      </c>
      <c r="J13" s="319">
        <v>3</v>
      </c>
      <c r="K13" s="320">
        <f>IF(Tabela5[[#This Row],[Periodicidade]]="","",(VLOOKUP(Tabela5[[#This Row],[Periodicidade]],'PADRAO E REFERENCIA'!$F$3:$J$7,3,FALSE)*Tabela5[[#This Row],[Frequência]]))</f>
        <v>3</v>
      </c>
      <c r="L13" s="321">
        <f>IF(Tabela5[[#This Row],[Rotina Diária]]="","",Tabela5[[#This Row],[Tamanho Real]]*Tabela5[[#This Row],[Rotina Diária]])</f>
        <v>117</v>
      </c>
      <c r="M13" s="322">
        <f>Tabela5[[#This Row],[Área Efetiva em Diária]]/Tabela5[[#This Row],[Produtividade]]</f>
        <v>9.7500000000000003E-2</v>
      </c>
      <c r="N13" s="331">
        <f>(IF(Tabela5[[#This Row],[Produtividade]]="","",1/Tabela5[[#This Row],[Produtividade]]))</f>
        <v>8.3333333333333339E-4</v>
      </c>
      <c r="O13" s="331">
        <f>IF(Tabela5[[#This Row],[Produtividade]]="","",(VLOOKUP(Tabela5[[#This Row],[Periodicidade]],Tabela3[#All],2,FALSE)))</f>
        <v>220</v>
      </c>
      <c r="P13" s="331">
        <f>1/Tabela5[[#This Row],[Frequência de Horas no Mês]]</f>
        <v>4.5454545454545452E-3</v>
      </c>
      <c r="Q13" s="331">
        <f>Tabela5[[#This Row],[Jornada de Trabalho mês]]*Tabela5[[#This Row],[Frequência de Horas no Mês]]*Tabela5[[#This Row],[Produtividade (1/M2)]]</f>
        <v>8.3333333333333339E-4</v>
      </c>
      <c r="R13" s="332">
        <f>IF(Tabela5[[#This Row],[Atividades]]&lt;&gt;"Roçar",'PLANILHA DE CUSTOS'!$G$14,'PLANILHA DE CUSTOS'!$G$15)</f>
        <v>2710.1714579257778</v>
      </c>
      <c r="S13" s="324">
        <f>'PLANILHA DE CUSTOS'!$G$92</f>
        <v>3139.8850132792086</v>
      </c>
      <c r="T13" s="325">
        <f>IF(Tabela5[[#This Row],[Proporção de Horas Trabalhadas pela Produtividade Adotada2]]="","",Tabela5[[#This Row],[Proporção de Horas Trabalhadas pela Produtividade Adotada2]]*Tabela5[[#This Row],[ Valor Total por Agente de Limpeza ]])</f>
        <v>2.2584762149381481</v>
      </c>
      <c r="U13" s="325">
        <f>IF(Tabela5[[#This Row],[Proporção de Horas Trabalhadas pela Produtividade Adotada2]]="","",Tabela5[[#This Row],[ Valor Total por Líder de Serviços ]]/Tabela5[[#Totals],[Mão de Obras]]*Tabela5[[#This Row],[Proporção de Horas Trabalhadas pela Produtividade Adotada2]])</f>
        <v>0.52328361644387966</v>
      </c>
      <c r="V13" s="324">
        <f>IF(Tabela5[[#This Row],[Proporção de Horas Trabalhadas pela Produtividade Adotada2]]="","",Tabela5[[#This Row],[Custo do M2 limpo pelo Líder]]+Tabela5[[#This Row],[Custo do M2 limpo pelo Agente]])</f>
        <v>2.7817598313820278</v>
      </c>
      <c r="W13" s="326">
        <f>IF(Tabela5[[#This Row],[Proporção de Horas Trabalhadas pela Produtividade Adotada2]]="","",Tabela5[[#This Row],[Área Efetiva em Diária]])</f>
        <v>117</v>
      </c>
      <c r="X13" s="327">
        <f>Tabela5[[#This Row],[Custo do M2 limpo pelo Agente]]*Tabela5[[#This Row],[Área Efetiva em Diária]]</f>
        <v>264.24171714776332</v>
      </c>
      <c r="Y13" s="327">
        <f>Tabela5[[#This Row],[Custo do M2 limpo pelo Líder]]*Tabela5[[#This Row],[Área Efetiva em Diária]]</f>
        <v>61.224183123933919</v>
      </c>
      <c r="Z13" s="328">
        <f>IF(Tabela5[[#Totals],[Mão de Obras]]&lt;=4,Tabela5[[#This Row],[Custo do M2 limpo pelo Agente]]*Tabela5[[#This Row],[Área Final para Remuneração]],Tabela5[[#This Row],[Custo Total do M2 limpo]]*Tabela5[[#This Row],[Área Final para Remuneração]])</f>
        <v>325.46590027169725</v>
      </c>
      <c r="AA13" s="329">
        <f>IF(Tabela5[[#This Row],[Área Final para Remuneração]]="","",((Tabela5[[#This Row],[Área Efetiva em Diária]])*(8.8))/Tabela5[[#This Row],[Produtividade]]/24)</f>
        <v>3.5750000000000004E-2</v>
      </c>
      <c r="AB13" s="329">
        <f>IF(Tabela5[[#This Row],[Área Final para Remuneração]]="","",((Tabela5[[#This Row],[Área Efetiva em Diária]])*(8.8))/Tabela5[[#This Row],[Produtividade]]/24*Tabela5[[#This Row],[Frequência]])</f>
        <v>0.10725000000000001</v>
      </c>
    </row>
    <row r="14" spans="1:28" ht="140.25">
      <c r="A14" s="333" t="s">
        <v>542</v>
      </c>
      <c r="B14" s="333" t="s">
        <v>564</v>
      </c>
      <c r="C14" s="333" t="s">
        <v>543</v>
      </c>
      <c r="D14" s="333" t="s">
        <v>544</v>
      </c>
      <c r="E14" s="334" t="s">
        <v>556</v>
      </c>
      <c r="F14" s="317" t="s">
        <v>323</v>
      </c>
      <c r="G14" s="318">
        <v>52.72</v>
      </c>
      <c r="H14" s="319" t="s">
        <v>341</v>
      </c>
      <c r="I14" s="319">
        <v>1200</v>
      </c>
      <c r="J14" s="319">
        <v>3</v>
      </c>
      <c r="K14" s="320">
        <f>IF(Tabela5[[#This Row],[Periodicidade]]="","",(VLOOKUP(Tabela5[[#This Row],[Periodicidade]],'PADRAO E REFERENCIA'!$F$3:$J$7,3,FALSE)*Tabela5[[#This Row],[Frequência]]))</f>
        <v>3</v>
      </c>
      <c r="L14" s="321">
        <f>IF(Tabela5[[#This Row],[Rotina Diária]]="","",Tabela5[[#This Row],[Tamanho Real]]*Tabela5[[#This Row],[Rotina Diária]])</f>
        <v>158.16</v>
      </c>
      <c r="M14" s="322">
        <f>Tabela5[[#This Row],[Área Efetiva em Diária]]/Tabela5[[#This Row],[Produtividade]]</f>
        <v>0.1318</v>
      </c>
      <c r="N14" s="331">
        <f>(IF(Tabela5[[#This Row],[Produtividade]]="","",1/Tabela5[[#This Row],[Produtividade]]))</f>
        <v>8.3333333333333339E-4</v>
      </c>
      <c r="O14" s="331">
        <f>IF(Tabela5[[#This Row],[Produtividade]]="","",(VLOOKUP(Tabela5[[#This Row],[Periodicidade]],Tabela3[#All],2,FALSE)))</f>
        <v>220</v>
      </c>
      <c r="P14" s="331">
        <f>1/Tabela5[[#This Row],[Frequência de Horas no Mês]]</f>
        <v>4.5454545454545452E-3</v>
      </c>
      <c r="Q14" s="331">
        <f>Tabela5[[#This Row],[Jornada de Trabalho mês]]*Tabela5[[#This Row],[Frequência de Horas no Mês]]*Tabela5[[#This Row],[Produtividade (1/M2)]]</f>
        <v>8.3333333333333339E-4</v>
      </c>
      <c r="R14" s="332">
        <f>IF(Tabela5[[#This Row],[Atividades]]&lt;&gt;"Roçar",'PLANILHA DE CUSTOS'!$G$14,'PLANILHA DE CUSTOS'!$G$15)</f>
        <v>2710.1714579257778</v>
      </c>
      <c r="S14" s="324">
        <f>'PLANILHA DE CUSTOS'!$G$92</f>
        <v>3139.8850132792086</v>
      </c>
      <c r="T14" s="325">
        <f>IF(Tabela5[[#This Row],[Proporção de Horas Trabalhadas pela Produtividade Adotada2]]="","",Tabela5[[#This Row],[Proporção de Horas Trabalhadas pela Produtividade Adotada2]]*Tabela5[[#This Row],[ Valor Total por Agente de Limpeza ]])</f>
        <v>2.2584762149381481</v>
      </c>
      <c r="U14" s="325">
        <f>IF(Tabela5[[#This Row],[Proporção de Horas Trabalhadas pela Produtividade Adotada2]]="","",Tabela5[[#This Row],[ Valor Total por Líder de Serviços ]]/Tabela5[[#Totals],[Mão de Obras]]*Tabela5[[#This Row],[Proporção de Horas Trabalhadas pela Produtividade Adotada2]])</f>
        <v>0.52328361644387966</v>
      </c>
      <c r="V14" s="324">
        <f>IF(Tabela5[[#This Row],[Proporção de Horas Trabalhadas pela Produtividade Adotada2]]="","",Tabela5[[#This Row],[Custo do M2 limpo pelo Líder]]+Tabela5[[#This Row],[Custo do M2 limpo pelo Agente]])</f>
        <v>2.7817598313820278</v>
      </c>
      <c r="W14" s="326">
        <f>IF(Tabela5[[#This Row],[Proporção de Horas Trabalhadas pela Produtividade Adotada2]]="","",Tabela5[[#This Row],[Área Efetiva em Diária]])</f>
        <v>158.16</v>
      </c>
      <c r="X14" s="327">
        <f>Tabela5[[#This Row],[Custo do M2 limpo pelo Agente]]*Tabela5[[#This Row],[Área Efetiva em Diária]]</f>
        <v>357.20059815461752</v>
      </c>
      <c r="Y14" s="327">
        <f>Tabela5[[#This Row],[Custo do M2 limpo pelo Líder]]*Tabela5[[#This Row],[Área Efetiva em Diária]]</f>
        <v>82.762536776764009</v>
      </c>
      <c r="Z14" s="328">
        <f>IF(Tabela5[[#Totals],[Mão de Obras]]&lt;=4,Tabela5[[#This Row],[Custo do M2 limpo pelo Agente]]*Tabela5[[#This Row],[Área Final para Remuneração]],Tabela5[[#This Row],[Custo Total do M2 limpo]]*Tabela5[[#This Row],[Área Final para Remuneração]])</f>
        <v>439.96313493138149</v>
      </c>
      <c r="AA14" s="329">
        <f>IF(Tabela5[[#This Row],[Área Final para Remuneração]]="","",((Tabela5[[#This Row],[Área Efetiva em Diária]])*(8.8))/Tabela5[[#This Row],[Produtividade]]/24)</f>
        <v>4.8326666666666664E-2</v>
      </c>
      <c r="AB14" s="329">
        <f>IF(Tabela5[[#This Row],[Área Final para Remuneração]]="","",((Tabela5[[#This Row],[Área Efetiva em Diária]])*(8.8))/Tabela5[[#This Row],[Produtividade]]/24*Tabela5[[#This Row],[Frequência]])</f>
        <v>0.14498</v>
      </c>
    </row>
    <row r="15" spans="1:28" ht="140.25">
      <c r="A15" s="333" t="s">
        <v>542</v>
      </c>
      <c r="B15" s="333" t="s">
        <v>565</v>
      </c>
      <c r="C15" s="333" t="s">
        <v>543</v>
      </c>
      <c r="D15" s="333" t="s">
        <v>544</v>
      </c>
      <c r="E15" s="334" t="s">
        <v>556</v>
      </c>
      <c r="F15" s="317" t="s">
        <v>323</v>
      </c>
      <c r="G15" s="318">
        <v>54.6</v>
      </c>
      <c r="H15" s="319" t="s">
        <v>341</v>
      </c>
      <c r="I15" s="319">
        <v>1200</v>
      </c>
      <c r="J15" s="319">
        <v>3</v>
      </c>
      <c r="K15" s="320">
        <f>IF(Tabela5[[#This Row],[Periodicidade]]="","",(VLOOKUP(Tabela5[[#This Row],[Periodicidade]],'PADRAO E REFERENCIA'!$F$3:$J$7,3,FALSE)*Tabela5[[#This Row],[Frequência]]))</f>
        <v>3</v>
      </c>
      <c r="L15" s="321">
        <f>IF(Tabela5[[#This Row],[Rotina Diária]]="","",Tabela5[[#This Row],[Tamanho Real]]*Tabela5[[#This Row],[Rotina Diária]])</f>
        <v>163.80000000000001</v>
      </c>
      <c r="M15" s="322">
        <f>Tabela5[[#This Row],[Área Efetiva em Diária]]/Tabela5[[#This Row],[Produtividade]]</f>
        <v>0.13650000000000001</v>
      </c>
      <c r="N15" s="331">
        <f>(IF(Tabela5[[#This Row],[Produtividade]]="","",1/Tabela5[[#This Row],[Produtividade]]))</f>
        <v>8.3333333333333339E-4</v>
      </c>
      <c r="O15" s="331">
        <f>IF(Tabela5[[#This Row],[Produtividade]]="","",(VLOOKUP(Tabela5[[#This Row],[Periodicidade]],Tabela3[#All],2,FALSE)))</f>
        <v>220</v>
      </c>
      <c r="P15" s="331">
        <f>1/Tabela5[[#This Row],[Frequência de Horas no Mês]]</f>
        <v>4.5454545454545452E-3</v>
      </c>
      <c r="Q15" s="331">
        <f>Tabela5[[#This Row],[Jornada de Trabalho mês]]*Tabela5[[#This Row],[Frequência de Horas no Mês]]*Tabela5[[#This Row],[Produtividade (1/M2)]]</f>
        <v>8.3333333333333339E-4</v>
      </c>
      <c r="R15" s="332">
        <f>IF(Tabela5[[#This Row],[Atividades]]&lt;&gt;"Roçar",'PLANILHA DE CUSTOS'!$G$14,'PLANILHA DE CUSTOS'!$G$15)</f>
        <v>2710.1714579257778</v>
      </c>
      <c r="S15" s="324">
        <f>'PLANILHA DE CUSTOS'!$G$92</f>
        <v>3139.8850132792086</v>
      </c>
      <c r="T15" s="325">
        <f>IF(Tabela5[[#This Row],[Proporção de Horas Trabalhadas pela Produtividade Adotada2]]="","",Tabela5[[#This Row],[Proporção de Horas Trabalhadas pela Produtividade Adotada2]]*Tabela5[[#This Row],[ Valor Total por Agente de Limpeza ]])</f>
        <v>2.2584762149381481</v>
      </c>
      <c r="U15" s="325">
        <f>IF(Tabela5[[#This Row],[Proporção de Horas Trabalhadas pela Produtividade Adotada2]]="","",Tabela5[[#This Row],[ Valor Total por Líder de Serviços ]]/Tabela5[[#Totals],[Mão de Obras]]*Tabela5[[#This Row],[Proporção de Horas Trabalhadas pela Produtividade Adotada2]])</f>
        <v>0.52328361644387966</v>
      </c>
      <c r="V15" s="324">
        <f>IF(Tabela5[[#This Row],[Proporção de Horas Trabalhadas pela Produtividade Adotada2]]="","",Tabela5[[#This Row],[Custo do M2 limpo pelo Líder]]+Tabela5[[#This Row],[Custo do M2 limpo pelo Agente]])</f>
        <v>2.7817598313820278</v>
      </c>
      <c r="W15" s="326">
        <f>IF(Tabela5[[#This Row],[Proporção de Horas Trabalhadas pela Produtividade Adotada2]]="","",Tabela5[[#This Row],[Área Efetiva em Diária]])</f>
        <v>163.80000000000001</v>
      </c>
      <c r="X15" s="327">
        <f>Tabela5[[#This Row],[Custo do M2 limpo pelo Agente]]*Tabela5[[#This Row],[Área Efetiva em Diária]]</f>
        <v>369.93840400686867</v>
      </c>
      <c r="Y15" s="327">
        <f>Tabela5[[#This Row],[Custo do M2 limpo pelo Líder]]*Tabela5[[#This Row],[Área Efetiva em Diária]]</f>
        <v>85.713856373507497</v>
      </c>
      <c r="Z15" s="328">
        <f>IF(Tabela5[[#Totals],[Mão de Obras]]&lt;=4,Tabela5[[#This Row],[Custo do M2 limpo pelo Agente]]*Tabela5[[#This Row],[Área Final para Remuneração]],Tabela5[[#This Row],[Custo Total do M2 limpo]]*Tabela5[[#This Row],[Área Final para Remuneração]])</f>
        <v>455.65226038037616</v>
      </c>
      <c r="AA15" s="329">
        <f>IF(Tabela5[[#This Row],[Área Final para Remuneração]]="","",((Tabela5[[#This Row],[Área Efetiva em Diária]])*(8.8))/Tabela5[[#This Row],[Produtividade]]/24)</f>
        <v>5.0050000000000011E-2</v>
      </c>
      <c r="AB15" s="329">
        <f>IF(Tabela5[[#This Row],[Área Final para Remuneração]]="","",((Tabela5[[#This Row],[Área Efetiva em Diária]])*(8.8))/Tabela5[[#This Row],[Produtividade]]/24*Tabela5[[#This Row],[Frequência]])</f>
        <v>0.15015000000000003</v>
      </c>
    </row>
    <row r="16" spans="1:28" ht="51">
      <c r="A16" s="333" t="s">
        <v>542</v>
      </c>
      <c r="B16" s="333" t="s">
        <v>566</v>
      </c>
      <c r="C16" s="333" t="s">
        <v>543</v>
      </c>
      <c r="D16" s="333" t="s">
        <v>544</v>
      </c>
      <c r="E16" s="334" t="s">
        <v>567</v>
      </c>
      <c r="F16" s="317" t="s">
        <v>328</v>
      </c>
      <c r="G16" s="318">
        <v>7.15</v>
      </c>
      <c r="H16" s="319" t="s">
        <v>341</v>
      </c>
      <c r="I16" s="319">
        <v>300</v>
      </c>
      <c r="J16" s="319">
        <v>3</v>
      </c>
      <c r="K16" s="320">
        <f>IF(Tabela5[[#This Row],[Periodicidade]]="","",(VLOOKUP(Tabela5[[#This Row],[Periodicidade]],'PADRAO E REFERENCIA'!$F$3:$J$7,3,FALSE)*Tabela5[[#This Row],[Frequência]]))</f>
        <v>3</v>
      </c>
      <c r="L16" s="321">
        <f>IF(Tabela5[[#This Row],[Rotina Diária]]="","",Tabela5[[#This Row],[Tamanho Real]]*Tabela5[[#This Row],[Rotina Diária]])</f>
        <v>21.450000000000003</v>
      </c>
      <c r="M16" s="322">
        <f>Tabela5[[#This Row],[Área Efetiva em Diária]]/Tabela5[[#This Row],[Produtividade]]</f>
        <v>7.1500000000000008E-2</v>
      </c>
      <c r="N16" s="331">
        <f>(IF(Tabela5[[#This Row],[Produtividade]]="","",1/Tabela5[[#This Row],[Produtividade]]))</f>
        <v>3.3333333333333335E-3</v>
      </c>
      <c r="O16" s="331">
        <f>IF(Tabela5[[#This Row],[Produtividade]]="","",(VLOOKUP(Tabela5[[#This Row],[Periodicidade]],Tabela3[#All],2,FALSE)))</f>
        <v>220</v>
      </c>
      <c r="P16" s="331">
        <f>1/Tabela5[[#This Row],[Frequência de Horas no Mês]]</f>
        <v>4.5454545454545452E-3</v>
      </c>
      <c r="Q16" s="331">
        <f>Tabela5[[#This Row],[Jornada de Trabalho mês]]*Tabela5[[#This Row],[Frequência de Horas no Mês]]*Tabela5[[#This Row],[Produtividade (1/M2)]]</f>
        <v>3.3333333333333335E-3</v>
      </c>
      <c r="R16" s="332">
        <f>IF(Tabela5[[#This Row],[Atividades]]&lt;&gt;"Roçar",'PLANILHA DE CUSTOS'!$G$14,'PLANILHA DE CUSTOS'!$G$15)</f>
        <v>2710.1714579257778</v>
      </c>
      <c r="S16" s="324">
        <f>'PLANILHA DE CUSTOS'!$G$92</f>
        <v>3139.8850132792086</v>
      </c>
      <c r="T16" s="325">
        <f>IF(Tabela5[[#This Row],[Proporção de Horas Trabalhadas pela Produtividade Adotada2]]="","",Tabela5[[#This Row],[Proporção de Horas Trabalhadas pela Produtividade Adotada2]]*Tabela5[[#This Row],[ Valor Total por Agente de Limpeza ]])</f>
        <v>9.0339048597525924</v>
      </c>
      <c r="U16" s="325">
        <f>IF(Tabela5[[#This Row],[Proporção de Horas Trabalhadas pela Produtividade Adotada2]]="","",Tabela5[[#This Row],[ Valor Total por Líder de Serviços ]]/Tabela5[[#Totals],[Mão de Obras]]*Tabela5[[#This Row],[Proporção de Horas Trabalhadas pela Produtividade Adotada2]])</f>
        <v>2.0931344657755186</v>
      </c>
      <c r="V16" s="324">
        <f>IF(Tabela5[[#This Row],[Proporção de Horas Trabalhadas pela Produtividade Adotada2]]="","",Tabela5[[#This Row],[Custo do M2 limpo pelo Líder]]+Tabela5[[#This Row],[Custo do M2 limpo pelo Agente]])</f>
        <v>11.127039325528111</v>
      </c>
      <c r="W16" s="326">
        <f>IF(Tabela5[[#This Row],[Proporção de Horas Trabalhadas pela Produtividade Adotada2]]="","",Tabela5[[#This Row],[Área Efetiva em Diária]])</f>
        <v>21.450000000000003</v>
      </c>
      <c r="X16" s="327">
        <f>Tabela5[[#This Row],[Custo do M2 limpo pelo Agente]]*Tabela5[[#This Row],[Área Efetiva em Diária]]</f>
        <v>193.77725924169314</v>
      </c>
      <c r="Y16" s="327">
        <f>Tabela5[[#This Row],[Custo do M2 limpo pelo Líder]]*Tabela5[[#This Row],[Área Efetiva em Diária]]</f>
        <v>44.897734290884884</v>
      </c>
      <c r="Z16" s="328">
        <f>IF(Tabela5[[#Totals],[Mão de Obras]]&lt;=4,Tabela5[[#This Row],[Custo do M2 limpo pelo Agente]]*Tabela5[[#This Row],[Área Final para Remuneração]],Tabela5[[#This Row],[Custo Total do M2 limpo]]*Tabela5[[#This Row],[Área Final para Remuneração]])</f>
        <v>238.67499353257801</v>
      </c>
      <c r="AA16" s="329">
        <f>IF(Tabela5[[#This Row],[Área Final para Remuneração]]="","",((Tabela5[[#This Row],[Área Efetiva em Diária]])*(8.8))/Tabela5[[#This Row],[Produtividade]]/24)</f>
        <v>2.6216666666666676E-2</v>
      </c>
      <c r="AB16" s="329">
        <f>IF(Tabela5[[#This Row],[Área Final para Remuneração]]="","",((Tabela5[[#This Row],[Área Efetiva em Diária]])*(8.8))/Tabela5[[#This Row],[Produtividade]]/24*Tabela5[[#This Row],[Frequência]])</f>
        <v>7.8650000000000025E-2</v>
      </c>
    </row>
    <row r="17" spans="1:28" ht="25.5">
      <c r="A17" s="333" t="s">
        <v>542</v>
      </c>
      <c r="B17" s="333" t="s">
        <v>568</v>
      </c>
      <c r="C17" s="333" t="s">
        <v>569</v>
      </c>
      <c r="D17" s="333" t="s">
        <v>570</v>
      </c>
      <c r="E17" s="334" t="s">
        <v>571</v>
      </c>
      <c r="F17" s="317" t="s">
        <v>323</v>
      </c>
      <c r="G17" s="318">
        <v>5.37</v>
      </c>
      <c r="H17" s="319" t="s">
        <v>341</v>
      </c>
      <c r="I17" s="319">
        <v>1200</v>
      </c>
      <c r="J17" s="319">
        <v>3</v>
      </c>
      <c r="K17" s="320">
        <f>IF(Tabela5[[#This Row],[Periodicidade]]="","",(VLOOKUP(Tabela5[[#This Row],[Periodicidade]],'PADRAO E REFERENCIA'!$F$3:$J$7,3,FALSE)*Tabela5[[#This Row],[Frequência]]))</f>
        <v>3</v>
      </c>
      <c r="L17" s="321">
        <f>IF(Tabela5[[#This Row],[Rotina Diária]]="","",Tabela5[[#This Row],[Tamanho Real]]*Tabela5[[#This Row],[Rotina Diária]])</f>
        <v>16.11</v>
      </c>
      <c r="M17" s="322">
        <f>Tabela5[[#This Row],[Área Efetiva em Diária]]/Tabela5[[#This Row],[Produtividade]]</f>
        <v>1.3424999999999999E-2</v>
      </c>
      <c r="N17" s="331">
        <f>(IF(Tabela5[[#This Row],[Produtividade]]="","",1/Tabela5[[#This Row],[Produtividade]]))</f>
        <v>8.3333333333333339E-4</v>
      </c>
      <c r="O17" s="331">
        <f>IF(Tabela5[[#This Row],[Produtividade]]="","",(VLOOKUP(Tabela5[[#This Row],[Periodicidade]],Tabela3[#All],2,FALSE)))</f>
        <v>220</v>
      </c>
      <c r="P17" s="331">
        <f>1/Tabela5[[#This Row],[Frequência de Horas no Mês]]</f>
        <v>4.5454545454545452E-3</v>
      </c>
      <c r="Q17" s="331">
        <f>Tabela5[[#This Row],[Jornada de Trabalho mês]]*Tabela5[[#This Row],[Frequência de Horas no Mês]]*Tabela5[[#This Row],[Produtividade (1/M2)]]</f>
        <v>8.3333333333333339E-4</v>
      </c>
      <c r="R17" s="332">
        <f>IF(Tabela5[[#This Row],[Atividades]]&lt;&gt;"Roçar",'PLANILHA DE CUSTOS'!$G$14,'PLANILHA DE CUSTOS'!$G$15)</f>
        <v>2710.1714579257778</v>
      </c>
      <c r="S17" s="324">
        <f>'PLANILHA DE CUSTOS'!$G$92</f>
        <v>3139.8850132792086</v>
      </c>
      <c r="T17" s="325">
        <f>IF(Tabela5[[#This Row],[Proporção de Horas Trabalhadas pela Produtividade Adotada2]]="","",Tabela5[[#This Row],[Proporção de Horas Trabalhadas pela Produtividade Adotada2]]*Tabela5[[#This Row],[ Valor Total por Agente de Limpeza ]])</f>
        <v>2.2584762149381481</v>
      </c>
      <c r="U17" s="325">
        <f>IF(Tabela5[[#This Row],[Proporção de Horas Trabalhadas pela Produtividade Adotada2]]="","",Tabela5[[#This Row],[ Valor Total por Líder de Serviços ]]/Tabela5[[#Totals],[Mão de Obras]]*Tabela5[[#This Row],[Proporção de Horas Trabalhadas pela Produtividade Adotada2]])</f>
        <v>0.52328361644387966</v>
      </c>
      <c r="V17" s="324">
        <f>IF(Tabela5[[#This Row],[Proporção de Horas Trabalhadas pela Produtividade Adotada2]]="","",Tabela5[[#This Row],[Custo do M2 limpo pelo Líder]]+Tabela5[[#This Row],[Custo do M2 limpo pelo Agente]])</f>
        <v>2.7817598313820278</v>
      </c>
      <c r="W17" s="326">
        <f>IF(Tabela5[[#This Row],[Proporção de Horas Trabalhadas pela Produtividade Adotada2]]="","",Tabela5[[#This Row],[Área Efetiva em Diária]])</f>
        <v>16.11</v>
      </c>
      <c r="X17" s="327">
        <f>Tabela5[[#This Row],[Custo do M2 limpo pelo Agente]]*Tabela5[[#This Row],[Área Efetiva em Diária]]</f>
        <v>36.384051822653568</v>
      </c>
      <c r="Y17" s="327">
        <f>Tabela5[[#This Row],[Custo do M2 limpo pelo Líder]]*Tabela5[[#This Row],[Área Efetiva em Diária]]</f>
        <v>8.4300990609109014</v>
      </c>
      <c r="Z17" s="328">
        <f>IF(Tabela5[[#Totals],[Mão de Obras]]&lt;=4,Tabela5[[#This Row],[Custo do M2 limpo pelo Agente]]*Tabela5[[#This Row],[Área Final para Remuneração]],Tabela5[[#This Row],[Custo Total do M2 limpo]]*Tabela5[[#This Row],[Área Final para Remuneração]])</f>
        <v>44.814150883564466</v>
      </c>
      <c r="AA17" s="329">
        <f>IF(Tabela5[[#This Row],[Área Final para Remuneração]]="","",((Tabela5[[#This Row],[Área Efetiva em Diária]])*(8.8))/Tabela5[[#This Row],[Produtividade]]/24)</f>
        <v>4.9224999999999998E-3</v>
      </c>
      <c r="AB17" s="329">
        <f>IF(Tabela5[[#This Row],[Área Final para Remuneração]]="","",((Tabela5[[#This Row],[Área Efetiva em Diária]])*(8.8))/Tabela5[[#This Row],[Produtividade]]/24*Tabela5[[#This Row],[Frequência]])</f>
        <v>1.4767499999999999E-2</v>
      </c>
    </row>
    <row r="18" spans="1:28" ht="38.25">
      <c r="A18" s="333" t="s">
        <v>542</v>
      </c>
      <c r="B18" s="333" t="s">
        <v>572</v>
      </c>
      <c r="C18" s="333" t="s">
        <v>569</v>
      </c>
      <c r="D18" s="333" t="s">
        <v>570</v>
      </c>
      <c r="E18" s="334" t="s">
        <v>573</v>
      </c>
      <c r="F18" s="317" t="s">
        <v>323</v>
      </c>
      <c r="G18" s="318">
        <v>15.8</v>
      </c>
      <c r="H18" s="319" t="s">
        <v>341</v>
      </c>
      <c r="I18" s="319">
        <v>1200</v>
      </c>
      <c r="J18" s="319">
        <v>3</v>
      </c>
      <c r="K18" s="320">
        <f>IF(Tabela5[[#This Row],[Periodicidade]]="","",(VLOOKUP(Tabela5[[#This Row],[Periodicidade]],'PADRAO E REFERENCIA'!$F$3:$J$7,3,FALSE)*Tabela5[[#This Row],[Frequência]]))</f>
        <v>3</v>
      </c>
      <c r="L18" s="321">
        <f>IF(Tabela5[[#This Row],[Rotina Diária]]="","",Tabela5[[#This Row],[Tamanho Real]]*Tabela5[[#This Row],[Rotina Diária]])</f>
        <v>47.400000000000006</v>
      </c>
      <c r="M18" s="322">
        <f>Tabela5[[#This Row],[Área Efetiva em Diária]]/Tabela5[[#This Row],[Produtividade]]</f>
        <v>3.9500000000000007E-2</v>
      </c>
      <c r="N18" s="331">
        <f>(IF(Tabela5[[#This Row],[Produtividade]]="","",1/Tabela5[[#This Row],[Produtividade]]))</f>
        <v>8.3333333333333339E-4</v>
      </c>
      <c r="O18" s="331">
        <f>IF(Tabela5[[#This Row],[Produtividade]]="","",(VLOOKUP(Tabela5[[#This Row],[Periodicidade]],Tabela3[#All],2,FALSE)))</f>
        <v>220</v>
      </c>
      <c r="P18" s="331">
        <f>1/Tabela5[[#This Row],[Frequência de Horas no Mês]]</f>
        <v>4.5454545454545452E-3</v>
      </c>
      <c r="Q18" s="331">
        <f>Tabela5[[#This Row],[Jornada de Trabalho mês]]*Tabela5[[#This Row],[Frequência de Horas no Mês]]*Tabela5[[#This Row],[Produtividade (1/M2)]]</f>
        <v>8.3333333333333339E-4</v>
      </c>
      <c r="R18" s="332">
        <f>IF(Tabela5[[#This Row],[Atividades]]&lt;&gt;"Roçar",'PLANILHA DE CUSTOS'!$G$14,'PLANILHA DE CUSTOS'!$G$15)</f>
        <v>2710.1714579257778</v>
      </c>
      <c r="S18" s="324">
        <f>'PLANILHA DE CUSTOS'!$G$92</f>
        <v>3139.8850132792086</v>
      </c>
      <c r="T18" s="325">
        <f>IF(Tabela5[[#This Row],[Proporção de Horas Trabalhadas pela Produtividade Adotada2]]="","",Tabela5[[#This Row],[Proporção de Horas Trabalhadas pela Produtividade Adotada2]]*Tabela5[[#This Row],[ Valor Total por Agente de Limpeza ]])</f>
        <v>2.2584762149381481</v>
      </c>
      <c r="U18" s="325">
        <f>IF(Tabela5[[#This Row],[Proporção de Horas Trabalhadas pela Produtividade Adotada2]]="","",Tabela5[[#This Row],[ Valor Total por Líder de Serviços ]]/Tabela5[[#Totals],[Mão de Obras]]*Tabela5[[#This Row],[Proporção de Horas Trabalhadas pela Produtividade Adotada2]])</f>
        <v>0.52328361644387966</v>
      </c>
      <c r="V18" s="324">
        <f>IF(Tabela5[[#This Row],[Proporção de Horas Trabalhadas pela Produtividade Adotada2]]="","",Tabela5[[#This Row],[Custo do M2 limpo pelo Líder]]+Tabela5[[#This Row],[Custo do M2 limpo pelo Agente]])</f>
        <v>2.7817598313820278</v>
      </c>
      <c r="W18" s="326">
        <f>IF(Tabela5[[#This Row],[Proporção de Horas Trabalhadas pela Produtividade Adotada2]]="","",Tabela5[[#This Row],[Área Efetiva em Diária]])</f>
        <v>47.400000000000006</v>
      </c>
      <c r="X18" s="327">
        <f>Tabela5[[#This Row],[Custo do M2 limpo pelo Agente]]*Tabela5[[#This Row],[Área Efetiva em Diária]]</f>
        <v>107.05177258806823</v>
      </c>
      <c r="Y18" s="327">
        <f>Tabela5[[#This Row],[Custo do M2 limpo pelo Líder]]*Tabela5[[#This Row],[Área Efetiva em Diária]]</f>
        <v>24.803643419439901</v>
      </c>
      <c r="Z18" s="328">
        <f>IF(Tabela5[[#Totals],[Mão de Obras]]&lt;=4,Tabela5[[#This Row],[Custo do M2 limpo pelo Agente]]*Tabela5[[#This Row],[Área Final para Remuneração]],Tabela5[[#This Row],[Custo Total do M2 limpo]]*Tabela5[[#This Row],[Área Final para Remuneração]])</f>
        <v>131.85541600750813</v>
      </c>
      <c r="AA18" s="329">
        <f>IF(Tabela5[[#This Row],[Área Final para Remuneração]]="","",((Tabela5[[#This Row],[Área Efetiva em Diária]])*(8.8))/Tabela5[[#This Row],[Produtividade]]/24)</f>
        <v>1.4483333333333336E-2</v>
      </c>
      <c r="AB18" s="329">
        <f>IF(Tabela5[[#This Row],[Área Final para Remuneração]]="","",((Tabela5[[#This Row],[Área Efetiva em Diária]])*(8.8))/Tabela5[[#This Row],[Produtividade]]/24*Tabela5[[#This Row],[Frequência]])</f>
        <v>4.3450000000000009E-2</v>
      </c>
    </row>
    <row r="19" spans="1:28" ht="153">
      <c r="A19" s="333" t="s">
        <v>542</v>
      </c>
      <c r="B19" s="333" t="s">
        <v>574</v>
      </c>
      <c r="C19" s="333" t="s">
        <v>543</v>
      </c>
      <c r="D19" s="333" t="s">
        <v>570</v>
      </c>
      <c r="E19" s="334" t="s">
        <v>575</v>
      </c>
      <c r="F19" s="317" t="s">
        <v>324</v>
      </c>
      <c r="G19" s="318">
        <v>23.25</v>
      </c>
      <c r="H19" s="319" t="s">
        <v>341</v>
      </c>
      <c r="I19" s="319">
        <v>390</v>
      </c>
      <c r="J19" s="319">
        <v>3</v>
      </c>
      <c r="K19" s="320">
        <f>IF(Tabela5[[#This Row],[Periodicidade]]="","",(VLOOKUP(Tabela5[[#This Row],[Periodicidade]],'PADRAO E REFERENCIA'!$F$3:$J$7,3,FALSE)*Tabela5[[#This Row],[Frequência]]))</f>
        <v>3</v>
      </c>
      <c r="L19" s="321">
        <f>IF(Tabela5[[#This Row],[Rotina Diária]]="","",Tabela5[[#This Row],[Tamanho Real]]*Tabela5[[#This Row],[Rotina Diária]])</f>
        <v>69.75</v>
      </c>
      <c r="M19" s="322">
        <f>Tabela5[[#This Row],[Área Efetiva em Diária]]/Tabela5[[#This Row],[Produtividade]]</f>
        <v>0.17884615384615385</v>
      </c>
      <c r="N19" s="331">
        <f>(IF(Tabela5[[#This Row],[Produtividade]]="","",1/Tabela5[[#This Row],[Produtividade]]))</f>
        <v>2.5641025641025641E-3</v>
      </c>
      <c r="O19" s="331">
        <f>IF(Tabela5[[#This Row],[Produtividade]]="","",(VLOOKUP(Tabela5[[#This Row],[Periodicidade]],Tabela3[#All],2,FALSE)))</f>
        <v>220</v>
      </c>
      <c r="P19" s="331">
        <f>1/Tabela5[[#This Row],[Frequência de Horas no Mês]]</f>
        <v>4.5454545454545452E-3</v>
      </c>
      <c r="Q19" s="331">
        <f>Tabela5[[#This Row],[Jornada de Trabalho mês]]*Tabela5[[#This Row],[Frequência de Horas no Mês]]*Tabela5[[#This Row],[Produtividade (1/M2)]]</f>
        <v>2.5641025641025641E-3</v>
      </c>
      <c r="R19" s="332">
        <f>IF(Tabela5[[#This Row],[Atividades]]&lt;&gt;"Roçar",'PLANILHA DE CUSTOS'!$G$14,'PLANILHA DE CUSTOS'!$G$15)</f>
        <v>2710.1714579257778</v>
      </c>
      <c r="S19" s="324">
        <f>'PLANILHA DE CUSTOS'!$G$92</f>
        <v>3139.8850132792086</v>
      </c>
      <c r="T19" s="325">
        <f>IF(Tabela5[[#This Row],[Proporção de Horas Trabalhadas pela Produtividade Adotada2]]="","",Tabela5[[#This Row],[Proporção de Horas Trabalhadas pela Produtividade Adotada2]]*Tabela5[[#This Row],[ Valor Total por Agente de Limpeza ]])</f>
        <v>6.9491575844250715</v>
      </c>
      <c r="U19" s="325">
        <f>IF(Tabela5[[#This Row],[Proporção de Horas Trabalhadas pela Produtividade Adotada2]]="","",Tabela5[[#This Row],[ Valor Total por Líder de Serviços ]]/Tabela5[[#Totals],[Mão de Obras]]*Tabela5[[#This Row],[Proporção de Horas Trabalhadas pela Produtividade Adotada2]])</f>
        <v>1.6101034352119372</v>
      </c>
      <c r="V19" s="324">
        <f>IF(Tabela5[[#This Row],[Proporção de Horas Trabalhadas pela Produtividade Adotada2]]="","",Tabela5[[#This Row],[Custo do M2 limpo pelo Líder]]+Tabela5[[#This Row],[Custo do M2 limpo pelo Agente]])</f>
        <v>8.5592610196370096</v>
      </c>
      <c r="W19" s="326">
        <f>IF(Tabela5[[#This Row],[Proporção de Horas Trabalhadas pela Produtividade Adotada2]]="","",Tabela5[[#This Row],[Área Efetiva em Diária]])</f>
        <v>69.75</v>
      </c>
      <c r="X19" s="327">
        <f>Tabela5[[#This Row],[Custo do M2 limpo pelo Agente]]*Tabela5[[#This Row],[Área Efetiva em Diária]]</f>
        <v>484.70374151364871</v>
      </c>
      <c r="Y19" s="327">
        <f>Tabela5[[#This Row],[Custo do M2 limpo pelo Líder]]*Tabela5[[#This Row],[Área Efetiva em Diária]]</f>
        <v>112.30471460603262</v>
      </c>
      <c r="Z19" s="328">
        <f>IF(Tabela5[[#Totals],[Mão de Obras]]&lt;=4,Tabela5[[#This Row],[Custo do M2 limpo pelo Agente]]*Tabela5[[#This Row],[Área Final para Remuneração]],Tabela5[[#This Row],[Custo Total do M2 limpo]]*Tabela5[[#This Row],[Área Final para Remuneração]])</f>
        <v>597.00845611968145</v>
      </c>
      <c r="AA19" s="329">
        <f>IF(Tabela5[[#This Row],[Área Final para Remuneração]]="","",((Tabela5[[#This Row],[Área Efetiva em Diária]])*(8.8))/Tabela5[[#This Row],[Produtividade]]/24)</f>
        <v>6.5576923076923088E-2</v>
      </c>
      <c r="AB19" s="329">
        <f>IF(Tabela5[[#This Row],[Área Final para Remuneração]]="","",((Tabela5[[#This Row],[Área Efetiva em Diária]])*(8.8))/Tabela5[[#This Row],[Produtividade]]/24*Tabela5[[#This Row],[Frequência]])</f>
        <v>0.19673076923076926</v>
      </c>
    </row>
    <row r="20" spans="1:28" ht="51">
      <c r="A20" s="333" t="s">
        <v>542</v>
      </c>
      <c r="B20" s="333" t="s">
        <v>576</v>
      </c>
      <c r="C20" s="333" t="s">
        <v>543</v>
      </c>
      <c r="D20" s="333" t="s">
        <v>570</v>
      </c>
      <c r="E20" s="334" t="s">
        <v>567</v>
      </c>
      <c r="F20" s="317" t="s">
        <v>328</v>
      </c>
      <c r="G20" s="318">
        <v>3.85</v>
      </c>
      <c r="H20" s="319" t="s">
        <v>341</v>
      </c>
      <c r="I20" s="319">
        <v>300</v>
      </c>
      <c r="J20" s="319">
        <v>3</v>
      </c>
      <c r="K20" s="320">
        <f>IF(Tabela5[[#This Row],[Periodicidade]]="","",(VLOOKUP(Tabela5[[#This Row],[Periodicidade]],'PADRAO E REFERENCIA'!$F$3:$J$7,3,FALSE)*Tabela5[[#This Row],[Frequência]]))</f>
        <v>3</v>
      </c>
      <c r="L20" s="321">
        <f>IF(Tabela5[[#This Row],[Rotina Diária]]="","",Tabela5[[#This Row],[Tamanho Real]]*Tabela5[[#This Row],[Rotina Diária]])</f>
        <v>11.55</v>
      </c>
      <c r="M20" s="322">
        <f>Tabela5[[#This Row],[Área Efetiva em Diária]]/Tabela5[[#This Row],[Produtividade]]</f>
        <v>3.85E-2</v>
      </c>
      <c r="N20" s="331">
        <f>(IF(Tabela5[[#This Row],[Produtividade]]="","",1/Tabela5[[#This Row],[Produtividade]]))</f>
        <v>3.3333333333333335E-3</v>
      </c>
      <c r="O20" s="331">
        <f>IF(Tabela5[[#This Row],[Produtividade]]="","",(VLOOKUP(Tabela5[[#This Row],[Periodicidade]],Tabela3[#All],2,FALSE)))</f>
        <v>220</v>
      </c>
      <c r="P20" s="331">
        <f>1/Tabela5[[#This Row],[Frequência de Horas no Mês]]</f>
        <v>4.5454545454545452E-3</v>
      </c>
      <c r="Q20" s="331">
        <f>Tabela5[[#This Row],[Jornada de Trabalho mês]]*Tabela5[[#This Row],[Frequência de Horas no Mês]]*Tabela5[[#This Row],[Produtividade (1/M2)]]</f>
        <v>3.3333333333333335E-3</v>
      </c>
      <c r="R20" s="332">
        <f>IF(Tabela5[[#This Row],[Atividades]]&lt;&gt;"Roçar",'PLANILHA DE CUSTOS'!$G$14,'PLANILHA DE CUSTOS'!$G$15)</f>
        <v>2710.1714579257778</v>
      </c>
      <c r="S20" s="324">
        <f>'PLANILHA DE CUSTOS'!$G$92</f>
        <v>3139.8850132792086</v>
      </c>
      <c r="T20" s="325">
        <f>IF(Tabela5[[#This Row],[Proporção de Horas Trabalhadas pela Produtividade Adotada2]]="","",Tabela5[[#This Row],[Proporção de Horas Trabalhadas pela Produtividade Adotada2]]*Tabela5[[#This Row],[ Valor Total por Agente de Limpeza ]])</f>
        <v>9.0339048597525924</v>
      </c>
      <c r="U20" s="325">
        <f>IF(Tabela5[[#This Row],[Proporção de Horas Trabalhadas pela Produtividade Adotada2]]="","",Tabela5[[#This Row],[ Valor Total por Líder de Serviços ]]/Tabela5[[#Totals],[Mão de Obras]]*Tabela5[[#This Row],[Proporção de Horas Trabalhadas pela Produtividade Adotada2]])</f>
        <v>2.0931344657755186</v>
      </c>
      <c r="V20" s="324">
        <f>IF(Tabela5[[#This Row],[Proporção de Horas Trabalhadas pela Produtividade Adotada2]]="","",Tabela5[[#This Row],[Custo do M2 limpo pelo Líder]]+Tabela5[[#This Row],[Custo do M2 limpo pelo Agente]])</f>
        <v>11.127039325528111</v>
      </c>
      <c r="W20" s="326">
        <f>IF(Tabela5[[#This Row],[Proporção de Horas Trabalhadas pela Produtividade Adotada2]]="","",Tabela5[[#This Row],[Área Efetiva em Diária]])</f>
        <v>11.55</v>
      </c>
      <c r="X20" s="327">
        <f>Tabela5[[#This Row],[Custo do M2 limpo pelo Agente]]*Tabela5[[#This Row],[Área Efetiva em Diária]]</f>
        <v>104.34160113014245</v>
      </c>
      <c r="Y20" s="327">
        <f>Tabela5[[#This Row],[Custo do M2 limpo pelo Líder]]*Tabela5[[#This Row],[Área Efetiva em Diária]]</f>
        <v>24.17570307970724</v>
      </c>
      <c r="Z20" s="328">
        <f>IF(Tabela5[[#Totals],[Mão de Obras]]&lt;=4,Tabela5[[#This Row],[Custo do M2 limpo pelo Agente]]*Tabela5[[#This Row],[Área Final para Remuneração]],Tabela5[[#This Row],[Custo Total do M2 limpo]]*Tabela5[[#This Row],[Área Final para Remuneração]])</f>
        <v>128.5173042098497</v>
      </c>
      <c r="AA20" s="329">
        <f>IF(Tabela5[[#This Row],[Área Final para Remuneração]]="","",((Tabela5[[#This Row],[Área Efetiva em Diária]])*(8.8))/Tabela5[[#This Row],[Produtividade]]/24)</f>
        <v>1.4116666666666668E-2</v>
      </c>
      <c r="AB20" s="329">
        <f>IF(Tabela5[[#This Row],[Área Final para Remuneração]]="","",((Tabela5[[#This Row],[Área Efetiva em Diária]])*(8.8))/Tabela5[[#This Row],[Produtividade]]/24*Tabela5[[#This Row],[Frequência]])</f>
        <v>4.2350000000000006E-2</v>
      </c>
    </row>
    <row r="21" spans="1:28" ht="38.25">
      <c r="A21" s="333" t="s">
        <v>542</v>
      </c>
      <c r="B21" s="333" t="s">
        <v>577</v>
      </c>
      <c r="C21" s="333" t="s">
        <v>569</v>
      </c>
      <c r="D21" s="333" t="s">
        <v>570</v>
      </c>
      <c r="E21" s="334" t="s">
        <v>578</v>
      </c>
      <c r="F21" s="317" t="s">
        <v>323</v>
      </c>
      <c r="G21" s="318">
        <v>25.84</v>
      </c>
      <c r="H21" s="319" t="s">
        <v>341</v>
      </c>
      <c r="I21" s="319">
        <v>1200</v>
      </c>
      <c r="J21" s="319">
        <v>3</v>
      </c>
      <c r="K21" s="320">
        <f>IF(Tabela5[[#This Row],[Periodicidade]]="","",(VLOOKUP(Tabela5[[#This Row],[Periodicidade]],'PADRAO E REFERENCIA'!$F$3:$J$7,3,FALSE)*Tabela5[[#This Row],[Frequência]]))</f>
        <v>3</v>
      </c>
      <c r="L21" s="321">
        <f>IF(Tabela5[[#This Row],[Rotina Diária]]="","",Tabela5[[#This Row],[Tamanho Real]]*Tabela5[[#This Row],[Rotina Diária]])</f>
        <v>77.52</v>
      </c>
      <c r="M21" s="322">
        <f>Tabela5[[#This Row],[Área Efetiva em Diária]]/Tabela5[[#This Row],[Produtividade]]</f>
        <v>6.4599999999999991E-2</v>
      </c>
      <c r="N21" s="331">
        <f>(IF(Tabela5[[#This Row],[Produtividade]]="","",1/Tabela5[[#This Row],[Produtividade]]))</f>
        <v>8.3333333333333339E-4</v>
      </c>
      <c r="O21" s="331">
        <f>IF(Tabela5[[#This Row],[Produtividade]]="","",(VLOOKUP(Tabela5[[#This Row],[Periodicidade]],Tabela3[#All],2,FALSE)))</f>
        <v>220</v>
      </c>
      <c r="P21" s="331">
        <f>1/Tabela5[[#This Row],[Frequência de Horas no Mês]]</f>
        <v>4.5454545454545452E-3</v>
      </c>
      <c r="Q21" s="331">
        <f>Tabela5[[#This Row],[Jornada de Trabalho mês]]*Tabela5[[#This Row],[Frequência de Horas no Mês]]*Tabela5[[#This Row],[Produtividade (1/M2)]]</f>
        <v>8.3333333333333339E-4</v>
      </c>
      <c r="R21" s="332">
        <f>IF(Tabela5[[#This Row],[Atividades]]&lt;&gt;"Roçar",'PLANILHA DE CUSTOS'!$G$14,'PLANILHA DE CUSTOS'!$G$15)</f>
        <v>2710.1714579257778</v>
      </c>
      <c r="S21" s="324">
        <f>'PLANILHA DE CUSTOS'!$G$92</f>
        <v>3139.8850132792086</v>
      </c>
      <c r="T21" s="325">
        <f>IF(Tabela5[[#This Row],[Proporção de Horas Trabalhadas pela Produtividade Adotada2]]="","",Tabela5[[#This Row],[Proporção de Horas Trabalhadas pela Produtividade Adotada2]]*Tabela5[[#This Row],[ Valor Total por Agente de Limpeza ]])</f>
        <v>2.2584762149381481</v>
      </c>
      <c r="U21" s="325">
        <f>IF(Tabela5[[#This Row],[Proporção de Horas Trabalhadas pela Produtividade Adotada2]]="","",Tabela5[[#This Row],[ Valor Total por Líder de Serviços ]]/Tabela5[[#Totals],[Mão de Obras]]*Tabela5[[#This Row],[Proporção de Horas Trabalhadas pela Produtividade Adotada2]])</f>
        <v>0.52328361644387966</v>
      </c>
      <c r="V21" s="324">
        <f>IF(Tabela5[[#This Row],[Proporção de Horas Trabalhadas pela Produtividade Adotada2]]="","",Tabela5[[#This Row],[Custo do M2 limpo pelo Líder]]+Tabela5[[#This Row],[Custo do M2 limpo pelo Agente]])</f>
        <v>2.7817598313820278</v>
      </c>
      <c r="W21" s="326">
        <f>IF(Tabela5[[#This Row],[Proporção de Horas Trabalhadas pela Produtividade Adotada2]]="","",Tabela5[[#This Row],[Área Efetiva em Diária]])</f>
        <v>77.52</v>
      </c>
      <c r="X21" s="327">
        <f>Tabela5[[#This Row],[Custo do M2 limpo pelo Agente]]*Tabela5[[#This Row],[Área Efetiva em Diária]]</f>
        <v>175.07707618200524</v>
      </c>
      <c r="Y21" s="327">
        <f>Tabela5[[#This Row],[Custo do M2 limpo pelo Líder]]*Tabela5[[#This Row],[Área Efetiva em Diária]]</f>
        <v>40.564945946729551</v>
      </c>
      <c r="Z21" s="328">
        <f>IF(Tabela5[[#Totals],[Mão de Obras]]&lt;=4,Tabela5[[#This Row],[Custo do M2 limpo pelo Agente]]*Tabela5[[#This Row],[Área Final para Remuneração]],Tabela5[[#This Row],[Custo Total do M2 limpo]]*Tabela5[[#This Row],[Área Final para Remuneração]])</f>
        <v>215.64202212873479</v>
      </c>
      <c r="AA21" s="329">
        <f>IF(Tabela5[[#This Row],[Área Final para Remuneração]]="","",((Tabela5[[#This Row],[Área Efetiva em Diária]])*(8.8))/Tabela5[[#This Row],[Produtividade]]/24)</f>
        <v>2.3686666666666665E-2</v>
      </c>
      <c r="AB21" s="329">
        <f>IF(Tabela5[[#This Row],[Área Final para Remuneração]]="","",((Tabela5[[#This Row],[Área Efetiva em Diária]])*(8.8))/Tabela5[[#This Row],[Produtividade]]/24*Tabela5[[#This Row],[Frequência]])</f>
        <v>7.1059999999999998E-2</v>
      </c>
    </row>
    <row r="22" spans="1:28" ht="38.25">
      <c r="A22" s="333" t="s">
        <v>542</v>
      </c>
      <c r="B22" s="333" t="s">
        <v>579</v>
      </c>
      <c r="C22" s="333" t="s">
        <v>543</v>
      </c>
      <c r="D22" s="333" t="s">
        <v>570</v>
      </c>
      <c r="E22" s="334" t="s">
        <v>578</v>
      </c>
      <c r="F22" s="317" t="s">
        <v>323</v>
      </c>
      <c r="G22" s="318">
        <v>7.03</v>
      </c>
      <c r="H22" s="319" t="s">
        <v>341</v>
      </c>
      <c r="I22" s="319">
        <v>1200</v>
      </c>
      <c r="J22" s="319">
        <v>3</v>
      </c>
      <c r="K22" s="320">
        <f>IF(Tabela5[[#This Row],[Periodicidade]]="","",(VLOOKUP(Tabela5[[#This Row],[Periodicidade]],'PADRAO E REFERENCIA'!$F$3:$J$7,3,FALSE)*Tabela5[[#This Row],[Frequência]]))</f>
        <v>3</v>
      </c>
      <c r="L22" s="321">
        <f>IF(Tabela5[[#This Row],[Rotina Diária]]="","",Tabela5[[#This Row],[Tamanho Real]]*Tabela5[[#This Row],[Rotina Diária]])</f>
        <v>21.09</v>
      </c>
      <c r="M22" s="322">
        <f>Tabela5[[#This Row],[Área Efetiva em Diária]]/Tabela5[[#This Row],[Produtividade]]</f>
        <v>1.7575E-2</v>
      </c>
      <c r="N22" s="331">
        <f>(IF(Tabela5[[#This Row],[Produtividade]]="","",1/Tabela5[[#This Row],[Produtividade]]))</f>
        <v>8.3333333333333339E-4</v>
      </c>
      <c r="O22" s="331">
        <f>IF(Tabela5[[#This Row],[Produtividade]]="","",(VLOOKUP(Tabela5[[#This Row],[Periodicidade]],Tabela3[#All],2,FALSE)))</f>
        <v>220</v>
      </c>
      <c r="P22" s="331">
        <f>1/Tabela5[[#This Row],[Frequência de Horas no Mês]]</f>
        <v>4.5454545454545452E-3</v>
      </c>
      <c r="Q22" s="331">
        <f>Tabela5[[#This Row],[Jornada de Trabalho mês]]*Tabela5[[#This Row],[Frequência de Horas no Mês]]*Tabela5[[#This Row],[Produtividade (1/M2)]]</f>
        <v>8.3333333333333339E-4</v>
      </c>
      <c r="R22" s="332">
        <f>IF(Tabela5[[#This Row],[Atividades]]&lt;&gt;"Roçar",'PLANILHA DE CUSTOS'!$G$14,'PLANILHA DE CUSTOS'!$G$15)</f>
        <v>2710.1714579257778</v>
      </c>
      <c r="S22" s="324">
        <f>'PLANILHA DE CUSTOS'!$G$92</f>
        <v>3139.8850132792086</v>
      </c>
      <c r="T22" s="325">
        <f>IF(Tabela5[[#This Row],[Proporção de Horas Trabalhadas pela Produtividade Adotada2]]="","",Tabela5[[#This Row],[Proporção de Horas Trabalhadas pela Produtividade Adotada2]]*Tabela5[[#This Row],[ Valor Total por Agente de Limpeza ]])</f>
        <v>2.2584762149381481</v>
      </c>
      <c r="U22" s="325">
        <f>IF(Tabela5[[#This Row],[Proporção de Horas Trabalhadas pela Produtividade Adotada2]]="","",Tabela5[[#This Row],[ Valor Total por Líder de Serviços ]]/Tabela5[[#Totals],[Mão de Obras]]*Tabela5[[#This Row],[Proporção de Horas Trabalhadas pela Produtividade Adotada2]])</f>
        <v>0.52328361644387966</v>
      </c>
      <c r="V22" s="324">
        <f>IF(Tabela5[[#This Row],[Proporção de Horas Trabalhadas pela Produtividade Adotada2]]="","",Tabela5[[#This Row],[Custo do M2 limpo pelo Líder]]+Tabela5[[#This Row],[Custo do M2 limpo pelo Agente]])</f>
        <v>2.7817598313820278</v>
      </c>
      <c r="W22" s="326">
        <f>IF(Tabela5[[#This Row],[Proporção de Horas Trabalhadas pela Produtividade Adotada2]]="","",Tabela5[[#This Row],[Área Efetiva em Diária]])</f>
        <v>21.09</v>
      </c>
      <c r="X22" s="327">
        <f>Tabela5[[#This Row],[Custo do M2 limpo pelo Agente]]*Tabela5[[#This Row],[Área Efetiva em Diária]]</f>
        <v>47.631263373045542</v>
      </c>
      <c r="Y22" s="327">
        <f>Tabela5[[#This Row],[Custo do M2 limpo pelo Líder]]*Tabela5[[#This Row],[Área Efetiva em Diária]]</f>
        <v>11.036051470801421</v>
      </c>
      <c r="Z22" s="328">
        <f>IF(Tabela5[[#Totals],[Mão de Obras]]&lt;=4,Tabela5[[#This Row],[Custo do M2 limpo pelo Agente]]*Tabela5[[#This Row],[Área Final para Remuneração]],Tabela5[[#This Row],[Custo Total do M2 limpo]]*Tabela5[[#This Row],[Área Final para Remuneração]])</f>
        <v>58.667314843846967</v>
      </c>
      <c r="AA22" s="329">
        <f>IF(Tabela5[[#This Row],[Área Final para Remuneração]]="","",((Tabela5[[#This Row],[Área Efetiva em Diária]])*(8.8))/Tabela5[[#This Row],[Produtividade]]/24)</f>
        <v>6.4441666666666675E-3</v>
      </c>
      <c r="AB22" s="329">
        <f>IF(Tabela5[[#This Row],[Área Final para Remuneração]]="","",((Tabela5[[#This Row],[Área Efetiva em Diária]])*(8.8))/Tabela5[[#This Row],[Produtividade]]/24*Tabela5[[#This Row],[Frequência]])</f>
        <v>1.9332500000000002E-2</v>
      </c>
    </row>
    <row r="23" spans="1:28" ht="153">
      <c r="A23" s="333" t="s">
        <v>542</v>
      </c>
      <c r="B23" s="333" t="s">
        <v>580</v>
      </c>
      <c r="C23" s="333" t="s">
        <v>543</v>
      </c>
      <c r="D23" s="333" t="s">
        <v>570</v>
      </c>
      <c r="E23" s="334" t="s">
        <v>581</v>
      </c>
      <c r="F23" s="317" t="s">
        <v>323</v>
      </c>
      <c r="G23" s="318">
        <v>9.69</v>
      </c>
      <c r="H23" s="319" t="s">
        <v>341</v>
      </c>
      <c r="I23" s="319">
        <v>1200</v>
      </c>
      <c r="J23" s="319">
        <v>3</v>
      </c>
      <c r="K23" s="320">
        <f>IF(Tabela5[[#This Row],[Periodicidade]]="","",(VLOOKUP(Tabela5[[#This Row],[Periodicidade]],'PADRAO E REFERENCIA'!$F$3:$J$7,3,FALSE)*Tabela5[[#This Row],[Frequência]]))</f>
        <v>3</v>
      </c>
      <c r="L23" s="321">
        <f>IF(Tabela5[[#This Row],[Rotina Diária]]="","",Tabela5[[#This Row],[Tamanho Real]]*Tabela5[[#This Row],[Rotina Diária]])</f>
        <v>29.07</v>
      </c>
      <c r="M23" s="322">
        <f>Tabela5[[#This Row],[Área Efetiva em Diária]]/Tabela5[[#This Row],[Produtividade]]</f>
        <v>2.4225E-2</v>
      </c>
      <c r="N23" s="331">
        <f>(IF(Tabela5[[#This Row],[Produtividade]]="","",1/Tabela5[[#This Row],[Produtividade]]))</f>
        <v>8.3333333333333339E-4</v>
      </c>
      <c r="O23" s="331">
        <f>IF(Tabela5[[#This Row],[Produtividade]]="","",(VLOOKUP(Tabela5[[#This Row],[Periodicidade]],Tabela3[#All],2,FALSE)))</f>
        <v>220</v>
      </c>
      <c r="P23" s="331">
        <f>1/Tabela5[[#This Row],[Frequência de Horas no Mês]]</f>
        <v>4.5454545454545452E-3</v>
      </c>
      <c r="Q23" s="331">
        <f>Tabela5[[#This Row],[Jornada de Trabalho mês]]*Tabela5[[#This Row],[Frequência de Horas no Mês]]*Tabela5[[#This Row],[Produtividade (1/M2)]]</f>
        <v>8.3333333333333339E-4</v>
      </c>
      <c r="R23" s="332">
        <f>IF(Tabela5[[#This Row],[Atividades]]&lt;&gt;"Roçar",'PLANILHA DE CUSTOS'!$G$14,'PLANILHA DE CUSTOS'!$G$15)</f>
        <v>2710.1714579257778</v>
      </c>
      <c r="S23" s="324">
        <f>'PLANILHA DE CUSTOS'!$G$92</f>
        <v>3139.8850132792086</v>
      </c>
      <c r="T23" s="325">
        <f>IF(Tabela5[[#This Row],[Proporção de Horas Trabalhadas pela Produtividade Adotada2]]="","",Tabela5[[#This Row],[Proporção de Horas Trabalhadas pela Produtividade Adotada2]]*Tabela5[[#This Row],[ Valor Total por Agente de Limpeza ]])</f>
        <v>2.2584762149381481</v>
      </c>
      <c r="U23" s="325">
        <f>IF(Tabela5[[#This Row],[Proporção de Horas Trabalhadas pela Produtividade Adotada2]]="","",Tabela5[[#This Row],[ Valor Total por Líder de Serviços ]]/Tabela5[[#Totals],[Mão de Obras]]*Tabela5[[#This Row],[Proporção de Horas Trabalhadas pela Produtividade Adotada2]])</f>
        <v>0.52328361644387966</v>
      </c>
      <c r="V23" s="324">
        <f>IF(Tabela5[[#This Row],[Proporção de Horas Trabalhadas pela Produtividade Adotada2]]="","",Tabela5[[#This Row],[Custo do M2 limpo pelo Líder]]+Tabela5[[#This Row],[Custo do M2 limpo pelo Agente]])</f>
        <v>2.7817598313820278</v>
      </c>
      <c r="W23" s="326">
        <f>IF(Tabela5[[#This Row],[Proporção de Horas Trabalhadas pela Produtividade Adotada2]]="","",Tabela5[[#This Row],[Área Efetiva em Diária]])</f>
        <v>29.07</v>
      </c>
      <c r="X23" s="327">
        <f>Tabela5[[#This Row],[Custo do M2 limpo pelo Agente]]*Tabela5[[#This Row],[Área Efetiva em Diária]]</f>
        <v>65.653903568251962</v>
      </c>
      <c r="Y23" s="327">
        <f>Tabela5[[#This Row],[Custo do M2 limpo pelo Líder]]*Tabela5[[#This Row],[Área Efetiva em Diária]]</f>
        <v>15.211854730023582</v>
      </c>
      <c r="Z23" s="328">
        <f>IF(Tabela5[[#Totals],[Mão de Obras]]&lt;=4,Tabela5[[#This Row],[Custo do M2 limpo pelo Agente]]*Tabela5[[#This Row],[Área Final para Remuneração]],Tabela5[[#This Row],[Custo Total do M2 limpo]]*Tabela5[[#This Row],[Área Final para Remuneração]])</f>
        <v>80.865758298275551</v>
      </c>
      <c r="AA23" s="329">
        <f>IF(Tabela5[[#This Row],[Área Final para Remuneração]]="","",((Tabela5[[#This Row],[Área Efetiva em Diária]])*(8.8))/Tabela5[[#This Row],[Produtividade]]/24)</f>
        <v>8.8825000000000015E-3</v>
      </c>
      <c r="AB23" s="329">
        <f>IF(Tabela5[[#This Row],[Área Final para Remuneração]]="","",((Tabela5[[#This Row],[Área Efetiva em Diária]])*(8.8))/Tabela5[[#This Row],[Produtividade]]/24*Tabela5[[#This Row],[Frequência]])</f>
        <v>2.6647500000000005E-2</v>
      </c>
    </row>
    <row r="24" spans="1:28" ht="114.75">
      <c r="A24" s="333" t="s">
        <v>542</v>
      </c>
      <c r="B24" s="333" t="s">
        <v>582</v>
      </c>
      <c r="C24" s="333" t="s">
        <v>569</v>
      </c>
      <c r="D24" s="333" t="s">
        <v>570</v>
      </c>
      <c r="E24" s="334" t="s">
        <v>583</v>
      </c>
      <c r="F24" s="317" t="s">
        <v>323</v>
      </c>
      <c r="G24" s="318">
        <v>7.9</v>
      </c>
      <c r="H24" s="319" t="s">
        <v>341</v>
      </c>
      <c r="I24" s="319">
        <v>1200</v>
      </c>
      <c r="J24" s="319">
        <v>3</v>
      </c>
      <c r="K24" s="320">
        <f>IF(Tabela5[[#This Row],[Periodicidade]]="","",(VLOOKUP(Tabela5[[#This Row],[Periodicidade]],'PADRAO E REFERENCIA'!$F$3:$J$7,3,FALSE)*Tabela5[[#This Row],[Frequência]]))</f>
        <v>3</v>
      </c>
      <c r="L24" s="321">
        <f>IF(Tabela5[[#This Row],[Rotina Diária]]="","",Tabela5[[#This Row],[Tamanho Real]]*Tabela5[[#This Row],[Rotina Diária]])</f>
        <v>23.700000000000003</v>
      </c>
      <c r="M24" s="322">
        <f>Tabela5[[#This Row],[Área Efetiva em Diária]]/Tabela5[[#This Row],[Produtividade]]</f>
        <v>1.9750000000000004E-2</v>
      </c>
      <c r="N24" s="331">
        <f>(IF(Tabela5[[#This Row],[Produtividade]]="","",1/Tabela5[[#This Row],[Produtividade]]))</f>
        <v>8.3333333333333339E-4</v>
      </c>
      <c r="O24" s="331">
        <f>IF(Tabela5[[#This Row],[Produtividade]]="","",(VLOOKUP(Tabela5[[#This Row],[Periodicidade]],Tabela3[#All],2,FALSE)))</f>
        <v>220</v>
      </c>
      <c r="P24" s="331">
        <f>1/Tabela5[[#This Row],[Frequência de Horas no Mês]]</f>
        <v>4.5454545454545452E-3</v>
      </c>
      <c r="Q24" s="331">
        <f>Tabela5[[#This Row],[Jornada de Trabalho mês]]*Tabela5[[#This Row],[Frequência de Horas no Mês]]*Tabela5[[#This Row],[Produtividade (1/M2)]]</f>
        <v>8.3333333333333339E-4</v>
      </c>
      <c r="R24" s="332">
        <f>IF(Tabela5[[#This Row],[Atividades]]&lt;&gt;"Roçar",'PLANILHA DE CUSTOS'!$G$14,'PLANILHA DE CUSTOS'!$G$15)</f>
        <v>2710.1714579257778</v>
      </c>
      <c r="S24" s="324">
        <f>'PLANILHA DE CUSTOS'!$G$92</f>
        <v>3139.8850132792086</v>
      </c>
      <c r="T24" s="325">
        <f>IF(Tabela5[[#This Row],[Proporção de Horas Trabalhadas pela Produtividade Adotada2]]="","",Tabela5[[#This Row],[Proporção de Horas Trabalhadas pela Produtividade Adotada2]]*Tabela5[[#This Row],[ Valor Total por Agente de Limpeza ]])</f>
        <v>2.2584762149381481</v>
      </c>
      <c r="U24" s="325">
        <f>IF(Tabela5[[#This Row],[Proporção de Horas Trabalhadas pela Produtividade Adotada2]]="","",Tabela5[[#This Row],[ Valor Total por Líder de Serviços ]]/Tabela5[[#Totals],[Mão de Obras]]*Tabela5[[#This Row],[Proporção de Horas Trabalhadas pela Produtividade Adotada2]])</f>
        <v>0.52328361644387966</v>
      </c>
      <c r="V24" s="324">
        <f>IF(Tabela5[[#This Row],[Proporção de Horas Trabalhadas pela Produtividade Adotada2]]="","",Tabela5[[#This Row],[Custo do M2 limpo pelo Líder]]+Tabela5[[#This Row],[Custo do M2 limpo pelo Agente]])</f>
        <v>2.7817598313820278</v>
      </c>
      <c r="W24" s="326">
        <f>IF(Tabela5[[#This Row],[Proporção de Horas Trabalhadas pela Produtividade Adotada2]]="","",Tabela5[[#This Row],[Área Efetiva em Diária]])</f>
        <v>23.700000000000003</v>
      </c>
      <c r="X24" s="327">
        <f>Tabela5[[#This Row],[Custo do M2 limpo pelo Agente]]*Tabela5[[#This Row],[Área Efetiva em Diária]]</f>
        <v>53.525886294034116</v>
      </c>
      <c r="Y24" s="327">
        <f>Tabela5[[#This Row],[Custo do M2 limpo pelo Líder]]*Tabela5[[#This Row],[Área Efetiva em Diária]]</f>
        <v>12.40182170971995</v>
      </c>
      <c r="Z24" s="328">
        <f>IF(Tabela5[[#Totals],[Mão de Obras]]&lt;=4,Tabela5[[#This Row],[Custo do M2 limpo pelo Agente]]*Tabela5[[#This Row],[Área Final para Remuneração]],Tabela5[[#This Row],[Custo Total do M2 limpo]]*Tabela5[[#This Row],[Área Final para Remuneração]])</f>
        <v>65.927708003754063</v>
      </c>
      <c r="AA24" s="329">
        <f>IF(Tabela5[[#This Row],[Área Final para Remuneração]]="","",((Tabela5[[#This Row],[Área Efetiva em Diária]])*(8.8))/Tabela5[[#This Row],[Produtividade]]/24)</f>
        <v>7.241666666666668E-3</v>
      </c>
      <c r="AB24" s="329">
        <f>IF(Tabela5[[#This Row],[Área Final para Remuneração]]="","",((Tabela5[[#This Row],[Área Efetiva em Diária]])*(8.8))/Tabela5[[#This Row],[Produtividade]]/24*Tabela5[[#This Row],[Frequência]])</f>
        <v>2.1725000000000005E-2</v>
      </c>
    </row>
    <row r="25" spans="1:28" ht="127.5">
      <c r="A25" s="333" t="s">
        <v>584</v>
      </c>
      <c r="B25" s="333" t="s">
        <v>297</v>
      </c>
      <c r="C25" s="333" t="s">
        <v>559</v>
      </c>
      <c r="D25" s="333" t="s">
        <v>585</v>
      </c>
      <c r="E25" s="334" t="s">
        <v>586</v>
      </c>
      <c r="F25" s="317" t="s">
        <v>328</v>
      </c>
      <c r="G25" s="318">
        <v>2.4900000000000002</v>
      </c>
      <c r="H25" s="319" t="s">
        <v>344</v>
      </c>
      <c r="I25" s="319">
        <v>300</v>
      </c>
      <c r="J25" s="319">
        <v>2</v>
      </c>
      <c r="K25" s="320">
        <f>IF(Tabela5[[#This Row],[Periodicidade]]="","",(VLOOKUP(Tabela5[[#This Row],[Periodicidade]],'PADRAO E REFERENCIA'!$F$3:$J$7,3,FALSE)*Tabela5[[#This Row],[Frequência]]))</f>
        <v>0.08</v>
      </c>
      <c r="L25" s="321">
        <f>IF(Tabela5[[#This Row],[Rotina Diária]]="","",Tabela5[[#This Row],[Tamanho Real]]*Tabela5[[#This Row],[Rotina Diária]])</f>
        <v>0.19920000000000002</v>
      </c>
      <c r="M25" s="322">
        <f>Tabela5[[#This Row],[Área Efetiva em Diária]]/Tabela5[[#This Row],[Produtividade]]</f>
        <v>6.6400000000000009E-4</v>
      </c>
      <c r="N25" s="331">
        <f>(IF(Tabela5[[#This Row],[Produtividade]]="","",1/Tabela5[[#This Row],[Produtividade]]))</f>
        <v>3.3333333333333335E-3</v>
      </c>
      <c r="O25" s="331">
        <f>IF(Tabela5[[#This Row],[Produtividade]]="","",(VLOOKUP(Tabela5[[#This Row],[Periodicidade]],Tabela3[#All],2,FALSE)))</f>
        <v>8.8000000000000007</v>
      </c>
      <c r="P25" s="331">
        <f>1/Tabela5[[#This Row],[Frequência de Horas no Mês]]</f>
        <v>0.11363636363636363</v>
      </c>
      <c r="Q25" s="331">
        <f>Tabela5[[#This Row],[Jornada de Trabalho mês]]*Tabela5[[#This Row],[Frequência de Horas no Mês]]*Tabela5[[#This Row],[Produtividade (1/M2)]]</f>
        <v>3.3333333333333335E-3</v>
      </c>
      <c r="R25" s="332">
        <f>IF(Tabela5[[#This Row],[Atividades]]&lt;&gt;"Roçar",'PLANILHA DE CUSTOS'!$G$14,'PLANILHA DE CUSTOS'!$G$15)</f>
        <v>2710.1714579257778</v>
      </c>
      <c r="S25" s="324">
        <f>'PLANILHA DE CUSTOS'!$G$92</f>
        <v>3139.8850132792086</v>
      </c>
      <c r="T25" s="325">
        <f>IF(Tabela5[[#This Row],[Proporção de Horas Trabalhadas pela Produtividade Adotada2]]="","",Tabela5[[#This Row],[Proporção de Horas Trabalhadas pela Produtividade Adotada2]]*Tabela5[[#This Row],[ Valor Total por Agente de Limpeza ]])</f>
        <v>9.0339048597525924</v>
      </c>
      <c r="U25" s="325">
        <f>IF(Tabela5[[#This Row],[Proporção de Horas Trabalhadas pela Produtividade Adotada2]]="","",Tabela5[[#This Row],[ Valor Total por Líder de Serviços ]]/Tabela5[[#Totals],[Mão de Obras]]*Tabela5[[#This Row],[Proporção de Horas Trabalhadas pela Produtividade Adotada2]])</f>
        <v>2.0931344657755186</v>
      </c>
      <c r="V25" s="324">
        <f>IF(Tabela5[[#This Row],[Proporção de Horas Trabalhadas pela Produtividade Adotada2]]="","",Tabela5[[#This Row],[Custo do M2 limpo pelo Líder]]+Tabela5[[#This Row],[Custo do M2 limpo pelo Agente]])</f>
        <v>11.127039325528111</v>
      </c>
      <c r="W25" s="326">
        <f>IF(Tabela5[[#This Row],[Proporção de Horas Trabalhadas pela Produtividade Adotada2]]="","",Tabela5[[#This Row],[Área Efetiva em Diária]])</f>
        <v>0.19920000000000002</v>
      </c>
      <c r="X25" s="327">
        <f>Tabela5[[#This Row],[Custo do M2 limpo pelo Agente]]*Tabela5[[#This Row],[Área Efetiva em Diária]]</f>
        <v>1.7995538480627165</v>
      </c>
      <c r="Y25" s="327">
        <f>Tabela5[[#This Row],[Custo do M2 limpo pelo Líder]]*Tabela5[[#This Row],[Área Efetiva em Diária]]</f>
        <v>0.41695238558248338</v>
      </c>
      <c r="Z25" s="328">
        <f>IF(Tabela5[[#Totals],[Mão de Obras]]&lt;=4,Tabela5[[#This Row],[Custo do M2 limpo pelo Agente]]*Tabela5[[#This Row],[Área Final para Remuneração]],Tabela5[[#This Row],[Custo Total do M2 limpo]]*Tabela5[[#This Row],[Área Final para Remuneração]])</f>
        <v>2.2165062336451999</v>
      </c>
      <c r="AA25" s="329">
        <f>IF(Tabela5[[#This Row],[Área Final para Remuneração]]="","",((Tabela5[[#This Row],[Área Efetiva em Diária]])*(8.8))/Tabela5[[#This Row],[Produtividade]]/24)</f>
        <v>2.4346666666666668E-4</v>
      </c>
      <c r="AB25" s="329">
        <f>IF(Tabela5[[#This Row],[Área Final para Remuneração]]="","",((Tabela5[[#This Row],[Área Efetiva em Diária]])*(8.8))/Tabela5[[#This Row],[Produtividade]]/24*Tabela5[[#This Row],[Frequência]])</f>
        <v>4.8693333333333337E-4</v>
      </c>
    </row>
    <row r="26" spans="1:28">
      <c r="A26" s="333" t="s">
        <v>542</v>
      </c>
      <c r="B26" s="333" t="s">
        <v>587</v>
      </c>
      <c r="C26" s="333" t="s">
        <v>588</v>
      </c>
      <c r="D26" s="333" t="s">
        <v>544</v>
      </c>
      <c r="E26" s="334" t="s">
        <v>589</v>
      </c>
      <c r="F26" s="317" t="s">
        <v>337</v>
      </c>
      <c r="G26" s="318">
        <v>10.9</v>
      </c>
      <c r="H26" s="319" t="s">
        <v>341</v>
      </c>
      <c r="I26" s="319">
        <v>380</v>
      </c>
      <c r="J26" s="319">
        <v>2</v>
      </c>
      <c r="K26" s="320">
        <f>IF(Tabela5[[#This Row],[Periodicidade]]="","",(VLOOKUP(Tabela5[[#This Row],[Periodicidade]],'PADRAO E REFERENCIA'!$F$3:$J$7,3,FALSE)*Tabela5[[#This Row],[Frequência]]))</f>
        <v>2</v>
      </c>
      <c r="L26" s="321">
        <f>IF(Tabela5[[#This Row],[Rotina Diária]]="","",Tabela5[[#This Row],[Tamanho Real]]*Tabela5[[#This Row],[Rotina Diária]])</f>
        <v>21.8</v>
      </c>
      <c r="M26" s="322">
        <f>Tabela5[[#This Row],[Área Efetiva em Diária]]/Tabela5[[#This Row],[Produtividade]]</f>
        <v>5.7368421052631582E-2</v>
      </c>
      <c r="N26" s="323">
        <f>(IF(Tabela5[[#This Row],[Produtividade]]="","",1/Tabela5[[#This Row],[Produtividade]]))</f>
        <v>2.631578947368421E-3</v>
      </c>
      <c r="O26" s="323">
        <f>IF(Tabela5[[#This Row],[Produtividade]]="","",(VLOOKUP(Tabela5[[#This Row],[Periodicidade]],Tabela3[#All],2,FALSE)))</f>
        <v>220</v>
      </c>
      <c r="P26" s="323">
        <f>1/Tabela5[[#This Row],[Frequência de Horas no Mês]]</f>
        <v>4.5454545454545452E-3</v>
      </c>
      <c r="Q26" s="323">
        <f>Tabela5[[#This Row],[Jornada de Trabalho mês]]*Tabela5[[#This Row],[Frequência de Horas no Mês]]*Tabela5[[#This Row],[Produtividade (1/M2)]]</f>
        <v>2.631578947368421E-3</v>
      </c>
      <c r="R26" s="324">
        <f>IF(Tabela5[[#This Row],[Atividades]]&lt;&gt;"Roçar",'PLANILHA DE CUSTOS'!$G$14,'PLANILHA DE CUSTOS'!$G$15)</f>
        <v>2710.1714579257778</v>
      </c>
      <c r="S26" s="324">
        <f>'PLANILHA DE CUSTOS'!$G$92</f>
        <v>3139.8850132792086</v>
      </c>
      <c r="T26" s="325">
        <f>IF(Tabela5[[#This Row],[Proporção de Horas Trabalhadas pela Produtividade Adotada2]]="","",Tabela5[[#This Row],[Proporção de Horas Trabalhadas pela Produtividade Adotada2]]*Tabela5[[#This Row],[ Valor Total por Agente de Limpeza ]])</f>
        <v>7.1320301524362568</v>
      </c>
      <c r="U26" s="325">
        <f>IF(Tabela5[[#This Row],[Proporção de Horas Trabalhadas pela Produtividade Adotada2]]="","",Tabela5[[#This Row],[ Valor Total por Líder de Serviços ]]/Tabela5[[#Totals],[Mão de Obras]]*Tabela5[[#This Row],[Proporção de Horas Trabalhadas pela Produtividade Adotada2]])</f>
        <v>1.6524745782438302</v>
      </c>
      <c r="V26" s="324">
        <f>IF(Tabela5[[#This Row],[Proporção de Horas Trabalhadas pela Produtividade Adotada2]]="","",Tabela5[[#This Row],[Custo do M2 limpo pelo Líder]]+Tabela5[[#This Row],[Custo do M2 limpo pelo Agente]])</f>
        <v>8.7845047306800872</v>
      </c>
      <c r="W26" s="326">
        <f>IF(Tabela5[[#This Row],[Proporção de Horas Trabalhadas pela Produtividade Adotada2]]="","",Tabela5[[#This Row],[Área Efetiva em Diária]])</f>
        <v>21.8</v>
      </c>
      <c r="X26" s="327">
        <f>Tabela5[[#This Row],[Custo do M2 limpo pelo Agente]]*Tabela5[[#This Row],[Área Efetiva em Diária]]</f>
        <v>155.4782573231104</v>
      </c>
      <c r="Y26" s="327">
        <f>Tabela5[[#This Row],[Custo do M2 limpo pelo Líder]]*Tabela5[[#This Row],[Área Efetiva em Diária]]</f>
        <v>36.023945805715499</v>
      </c>
      <c r="Z26" s="328">
        <f>IF(Tabela5[[#Totals],[Mão de Obras]]&lt;=4,Tabela5[[#This Row],[Custo do M2 limpo pelo Agente]]*Tabela5[[#This Row],[Área Final para Remuneração]],Tabela5[[#This Row],[Custo Total do M2 limpo]]*Tabela5[[#This Row],[Área Final para Remuneração]])</f>
        <v>191.5022031288259</v>
      </c>
      <c r="AA26" s="329">
        <f>IF(Tabela5[[#This Row],[Área Final para Remuneração]]="","",((Tabela5[[#This Row],[Área Efetiva em Diária]])*(8.8))/Tabela5[[#This Row],[Produtividade]]/24)</f>
        <v>2.103508771929825E-2</v>
      </c>
      <c r="AB26" s="329">
        <f>IF(Tabela5[[#This Row],[Área Final para Remuneração]]="","",((Tabela5[[#This Row],[Área Efetiva em Diária]])*(8.8))/Tabela5[[#This Row],[Produtividade]]/24*Tabela5[[#This Row],[Frequência]])</f>
        <v>4.2070175438596501E-2</v>
      </c>
    </row>
    <row r="27" spans="1:28" ht="38.25">
      <c r="A27" s="333" t="s">
        <v>542</v>
      </c>
      <c r="B27" s="333" t="s">
        <v>590</v>
      </c>
      <c r="C27" s="333" t="s">
        <v>559</v>
      </c>
      <c r="D27" s="333" t="s">
        <v>544</v>
      </c>
      <c r="E27" s="334" t="s">
        <v>560</v>
      </c>
      <c r="F27" s="317" t="s">
        <v>329</v>
      </c>
      <c r="G27" s="318">
        <v>8.4499999999999993</v>
      </c>
      <c r="H27" s="319" t="s">
        <v>342</v>
      </c>
      <c r="I27" s="319">
        <v>2700</v>
      </c>
      <c r="J27" s="319">
        <v>2</v>
      </c>
      <c r="K27" s="320">
        <f>IF(Tabela5[[#This Row],[Periodicidade]]="","",(VLOOKUP(Tabela5[[#This Row],[Periodicidade]],'PADRAO E REFERENCIA'!$F$3:$J$7,3,FALSE)*Tabela5[[#This Row],[Frequência]]))</f>
        <v>0.4</v>
      </c>
      <c r="L27" s="321">
        <f>IF(Tabela5[[#This Row],[Rotina Diária]]="","",Tabela5[[#This Row],[Tamanho Real]]*Tabela5[[#This Row],[Rotina Diária]])</f>
        <v>3.38</v>
      </c>
      <c r="M27" s="322">
        <f>Tabela5[[#This Row],[Área Efetiva em Diária]]/Tabela5[[#This Row],[Produtividade]]</f>
        <v>1.2518518518518519E-3</v>
      </c>
      <c r="N27" s="323">
        <f>(IF(Tabela5[[#This Row],[Produtividade]]="","",1/Tabela5[[#This Row],[Produtividade]]))</f>
        <v>3.7037037037037035E-4</v>
      </c>
      <c r="O27" s="323">
        <f>IF(Tabela5[[#This Row],[Produtividade]]="","",(VLOOKUP(Tabela5[[#This Row],[Periodicidade]],Tabela3[#All],2,FALSE)))</f>
        <v>44</v>
      </c>
      <c r="P27" s="323">
        <f>1/Tabela5[[#This Row],[Frequência de Horas no Mês]]</f>
        <v>2.2727272727272728E-2</v>
      </c>
      <c r="Q27" s="323">
        <f>Tabela5[[#This Row],[Jornada de Trabalho mês]]*Tabela5[[#This Row],[Frequência de Horas no Mês]]*Tabela5[[#This Row],[Produtividade (1/M2)]]</f>
        <v>3.7037037037037035E-4</v>
      </c>
      <c r="R27" s="324">
        <f>IF(Tabela5[[#This Row],[Atividades]]&lt;&gt;"Roçar",'PLANILHA DE CUSTOS'!$G$14,'PLANILHA DE CUSTOS'!$G$15)</f>
        <v>2710.1714579257778</v>
      </c>
      <c r="S27" s="324">
        <f>'PLANILHA DE CUSTOS'!$G$92</f>
        <v>3139.8850132792086</v>
      </c>
      <c r="T27" s="325">
        <f>IF(Tabela5[[#This Row],[Proporção de Horas Trabalhadas pela Produtividade Adotada2]]="","",Tabela5[[#This Row],[Proporção de Horas Trabalhadas pela Produtividade Adotada2]]*Tabela5[[#This Row],[ Valor Total por Agente de Limpeza ]])</f>
        <v>1.003767206639177</v>
      </c>
      <c r="U27" s="325">
        <f>IF(Tabela5[[#This Row],[Proporção de Horas Trabalhadas pela Produtividade Adotada2]]="","",Tabela5[[#This Row],[ Valor Total por Líder de Serviços ]]/Tabela5[[#Totals],[Mão de Obras]]*Tabela5[[#This Row],[Proporção de Horas Trabalhadas pela Produtividade Adotada2]])</f>
        <v>0.23257049619727979</v>
      </c>
      <c r="V27" s="324">
        <f>IF(Tabela5[[#This Row],[Proporção de Horas Trabalhadas pela Produtividade Adotada2]]="","",Tabela5[[#This Row],[Custo do M2 limpo pelo Líder]]+Tabela5[[#This Row],[Custo do M2 limpo pelo Agente]])</f>
        <v>1.2363377028364568</v>
      </c>
      <c r="W27" s="326">
        <f>IF(Tabela5[[#This Row],[Proporção de Horas Trabalhadas pela Produtividade Adotada2]]="","",Tabela5[[#This Row],[Área Efetiva em Diária]])</f>
        <v>3.38</v>
      </c>
      <c r="X27" s="327">
        <f>Tabela5[[#This Row],[Custo do M2 limpo pelo Agente]]*Tabela5[[#This Row],[Área Efetiva em Diária]]</f>
        <v>3.3927331584404179</v>
      </c>
      <c r="Y27" s="327">
        <f>Tabela5[[#This Row],[Custo do M2 limpo pelo Líder]]*Tabela5[[#This Row],[Área Efetiva em Diária]]</f>
        <v>0.78608827714680563</v>
      </c>
      <c r="Z27" s="328">
        <f>IF(Tabela5[[#Totals],[Mão de Obras]]&lt;=4,Tabela5[[#This Row],[Custo do M2 limpo pelo Agente]]*Tabela5[[#This Row],[Área Final para Remuneração]],Tabela5[[#This Row],[Custo Total do M2 limpo]]*Tabela5[[#This Row],[Área Final para Remuneração]])</f>
        <v>4.1788214355872242</v>
      </c>
      <c r="AA27" s="329">
        <f>IF(Tabela5[[#This Row],[Área Final para Remuneração]]="","",((Tabela5[[#This Row],[Área Efetiva em Diária]])*(8.8))/Tabela5[[#This Row],[Produtividade]]/24)</f>
        <v>4.5901234567901234E-4</v>
      </c>
      <c r="AB27" s="329">
        <f>IF(Tabela5[[#This Row],[Área Final para Remuneração]]="","",((Tabela5[[#This Row],[Área Efetiva em Diária]])*(8.8))/Tabela5[[#This Row],[Produtividade]]/24*Tabela5[[#This Row],[Frequência]])</f>
        <v>9.1802469135802468E-4</v>
      </c>
    </row>
    <row r="28" spans="1:28" ht="165.75">
      <c r="A28" s="333" t="s">
        <v>542</v>
      </c>
      <c r="B28" s="333" t="s">
        <v>591</v>
      </c>
      <c r="C28" s="333" t="s">
        <v>543</v>
      </c>
      <c r="D28" s="333" t="s">
        <v>544</v>
      </c>
      <c r="E28" s="334" t="s">
        <v>592</v>
      </c>
      <c r="F28" s="317" t="s">
        <v>323</v>
      </c>
      <c r="G28" s="318">
        <v>180</v>
      </c>
      <c r="H28" s="319" t="s">
        <v>341</v>
      </c>
      <c r="I28" s="319">
        <v>1200</v>
      </c>
      <c r="J28" s="319">
        <v>3</v>
      </c>
      <c r="K28" s="320">
        <f>IF(Tabela5[[#This Row],[Periodicidade]]="","",(VLOOKUP(Tabela5[[#This Row],[Periodicidade]],'PADRAO E REFERENCIA'!$F$3:$J$7,3,FALSE)*Tabela5[[#This Row],[Frequência]]))</f>
        <v>3</v>
      </c>
      <c r="L28" s="321">
        <f>IF(Tabela5[[#This Row],[Rotina Diária]]="","",Tabela5[[#This Row],[Tamanho Real]]*Tabela5[[#This Row],[Rotina Diária]])</f>
        <v>540</v>
      </c>
      <c r="M28" s="322">
        <f>Tabela5[[#This Row],[Área Efetiva em Diária]]/Tabela5[[#This Row],[Produtividade]]</f>
        <v>0.45</v>
      </c>
      <c r="N28" s="323">
        <f>(IF(Tabela5[[#This Row],[Produtividade]]="","",1/Tabela5[[#This Row],[Produtividade]]))</f>
        <v>8.3333333333333339E-4</v>
      </c>
      <c r="O28" s="323">
        <f>IF(Tabela5[[#This Row],[Produtividade]]="","",(VLOOKUP(Tabela5[[#This Row],[Periodicidade]],Tabela3[#All],2,FALSE)))</f>
        <v>220</v>
      </c>
      <c r="P28" s="323">
        <f>1/Tabela5[[#This Row],[Frequência de Horas no Mês]]</f>
        <v>4.5454545454545452E-3</v>
      </c>
      <c r="Q28" s="323">
        <f>Tabela5[[#This Row],[Jornada de Trabalho mês]]*Tabela5[[#This Row],[Frequência de Horas no Mês]]*Tabela5[[#This Row],[Produtividade (1/M2)]]</f>
        <v>8.3333333333333339E-4</v>
      </c>
      <c r="R28" s="324">
        <f>IF(Tabela5[[#This Row],[Atividades]]&lt;&gt;"Roçar",'PLANILHA DE CUSTOS'!$G$14,'PLANILHA DE CUSTOS'!$G$15)</f>
        <v>2710.1714579257778</v>
      </c>
      <c r="S28" s="324">
        <f>'PLANILHA DE CUSTOS'!$G$92</f>
        <v>3139.8850132792086</v>
      </c>
      <c r="T28" s="325">
        <f>IF(Tabela5[[#This Row],[Proporção de Horas Trabalhadas pela Produtividade Adotada2]]="","",Tabela5[[#This Row],[Proporção de Horas Trabalhadas pela Produtividade Adotada2]]*Tabela5[[#This Row],[ Valor Total por Agente de Limpeza ]])</f>
        <v>2.2584762149381481</v>
      </c>
      <c r="U28" s="325">
        <f>IF(Tabela5[[#This Row],[Proporção de Horas Trabalhadas pela Produtividade Adotada2]]="","",Tabela5[[#This Row],[ Valor Total por Líder de Serviços ]]/Tabela5[[#Totals],[Mão de Obras]]*Tabela5[[#This Row],[Proporção de Horas Trabalhadas pela Produtividade Adotada2]])</f>
        <v>0.52328361644387966</v>
      </c>
      <c r="V28" s="324">
        <f>IF(Tabela5[[#This Row],[Proporção de Horas Trabalhadas pela Produtividade Adotada2]]="","",Tabela5[[#This Row],[Custo do M2 limpo pelo Líder]]+Tabela5[[#This Row],[Custo do M2 limpo pelo Agente]])</f>
        <v>2.7817598313820278</v>
      </c>
      <c r="W28" s="326">
        <f>IF(Tabela5[[#This Row],[Proporção de Horas Trabalhadas pela Produtividade Adotada2]]="","",Tabela5[[#This Row],[Área Efetiva em Diária]])</f>
        <v>540</v>
      </c>
      <c r="X28" s="327">
        <f>Tabela5[[#This Row],[Custo do M2 limpo pelo Agente]]*Tabela5[[#This Row],[Área Efetiva em Diária]]</f>
        <v>1219.5771560666001</v>
      </c>
      <c r="Y28" s="327">
        <f>Tabela5[[#This Row],[Custo do M2 limpo pelo Líder]]*Tabela5[[#This Row],[Área Efetiva em Diária]]</f>
        <v>282.57315287969504</v>
      </c>
      <c r="Z28" s="328">
        <f>IF(Tabela5[[#Totals],[Mão de Obras]]&lt;=4,Tabela5[[#This Row],[Custo do M2 limpo pelo Agente]]*Tabela5[[#This Row],[Área Final para Remuneração]],Tabela5[[#This Row],[Custo Total do M2 limpo]]*Tabela5[[#This Row],[Área Final para Remuneração]])</f>
        <v>1502.1503089462949</v>
      </c>
      <c r="AA28" s="329">
        <f>IF(Tabela5[[#This Row],[Área Final para Remuneração]]="","",((Tabela5[[#This Row],[Área Efetiva em Diária]])*(8.8))/Tabela5[[#This Row],[Produtividade]]/24)</f>
        <v>0.16500000000000001</v>
      </c>
      <c r="AB28" s="329">
        <f>IF(Tabela5[[#This Row],[Área Final para Remuneração]]="","",((Tabela5[[#This Row],[Área Efetiva em Diária]])*(8.8))/Tabela5[[#This Row],[Produtividade]]/24*Tabela5[[#This Row],[Frequência]])</f>
        <v>0.495</v>
      </c>
    </row>
    <row r="29" spans="1:28" ht="127.5">
      <c r="A29" s="333" t="s">
        <v>542</v>
      </c>
      <c r="B29" s="333" t="s">
        <v>593</v>
      </c>
      <c r="C29" s="333" t="s">
        <v>543</v>
      </c>
      <c r="D29" s="333" t="s">
        <v>544</v>
      </c>
      <c r="E29" s="334" t="s">
        <v>594</v>
      </c>
      <c r="F29" s="317" t="s">
        <v>323</v>
      </c>
      <c r="G29" s="318">
        <v>112.8</v>
      </c>
      <c r="H29" s="319" t="s">
        <v>341</v>
      </c>
      <c r="I29" s="319">
        <v>1200</v>
      </c>
      <c r="J29" s="319">
        <v>3</v>
      </c>
      <c r="K29" s="320">
        <f>IF(Tabela5[[#This Row],[Periodicidade]]="","",(VLOOKUP(Tabela5[[#This Row],[Periodicidade]],'PADRAO E REFERENCIA'!$F$3:$J$7,3,FALSE)*Tabela5[[#This Row],[Frequência]]))</f>
        <v>3</v>
      </c>
      <c r="L29" s="321">
        <f>IF(Tabela5[[#This Row],[Rotina Diária]]="","",Tabela5[[#This Row],[Tamanho Real]]*Tabela5[[#This Row],[Rotina Diária]])</f>
        <v>338.4</v>
      </c>
      <c r="M29" s="322">
        <f>Tabela5[[#This Row],[Área Efetiva em Diária]]/Tabela5[[#This Row],[Produtividade]]</f>
        <v>0.28199999999999997</v>
      </c>
      <c r="N29" s="323">
        <f>(IF(Tabela5[[#This Row],[Produtividade]]="","",1/Tabela5[[#This Row],[Produtividade]]))</f>
        <v>8.3333333333333339E-4</v>
      </c>
      <c r="O29" s="323">
        <f>IF(Tabela5[[#This Row],[Produtividade]]="","",(VLOOKUP(Tabela5[[#This Row],[Periodicidade]],Tabela3[#All],2,FALSE)))</f>
        <v>220</v>
      </c>
      <c r="P29" s="323">
        <f>1/Tabela5[[#This Row],[Frequência de Horas no Mês]]</f>
        <v>4.5454545454545452E-3</v>
      </c>
      <c r="Q29" s="323">
        <f>Tabela5[[#This Row],[Jornada de Trabalho mês]]*Tabela5[[#This Row],[Frequência de Horas no Mês]]*Tabela5[[#This Row],[Produtividade (1/M2)]]</f>
        <v>8.3333333333333339E-4</v>
      </c>
      <c r="R29" s="324">
        <f>IF(Tabela5[[#This Row],[Atividades]]&lt;&gt;"Roçar",'PLANILHA DE CUSTOS'!$G$14,'PLANILHA DE CUSTOS'!$G$15)</f>
        <v>2710.1714579257778</v>
      </c>
      <c r="S29" s="324">
        <f>'PLANILHA DE CUSTOS'!$G$92</f>
        <v>3139.8850132792086</v>
      </c>
      <c r="T29" s="325">
        <f>IF(Tabela5[[#This Row],[Proporção de Horas Trabalhadas pela Produtividade Adotada2]]="","",Tabela5[[#This Row],[Proporção de Horas Trabalhadas pela Produtividade Adotada2]]*Tabela5[[#This Row],[ Valor Total por Agente de Limpeza ]])</f>
        <v>2.2584762149381481</v>
      </c>
      <c r="U29" s="325">
        <f>IF(Tabela5[[#This Row],[Proporção de Horas Trabalhadas pela Produtividade Adotada2]]="","",Tabela5[[#This Row],[ Valor Total por Líder de Serviços ]]/Tabela5[[#Totals],[Mão de Obras]]*Tabela5[[#This Row],[Proporção de Horas Trabalhadas pela Produtividade Adotada2]])</f>
        <v>0.52328361644387966</v>
      </c>
      <c r="V29" s="324">
        <f>IF(Tabela5[[#This Row],[Proporção de Horas Trabalhadas pela Produtividade Adotada2]]="","",Tabela5[[#This Row],[Custo do M2 limpo pelo Líder]]+Tabela5[[#This Row],[Custo do M2 limpo pelo Agente]])</f>
        <v>2.7817598313820278</v>
      </c>
      <c r="W29" s="326">
        <f>IF(Tabela5[[#This Row],[Proporção de Horas Trabalhadas pela Produtividade Adotada2]]="","",Tabela5[[#This Row],[Área Efetiva em Diária]])</f>
        <v>338.4</v>
      </c>
      <c r="X29" s="327">
        <f>Tabela5[[#This Row],[Custo do M2 limpo pelo Agente]]*Tabela5[[#This Row],[Área Efetiva em Diária]]</f>
        <v>764.26835113506922</v>
      </c>
      <c r="Y29" s="327">
        <f>Tabela5[[#This Row],[Custo do M2 limpo pelo Líder]]*Tabela5[[#This Row],[Área Efetiva em Diária]]</f>
        <v>177.07917580460887</v>
      </c>
      <c r="Z29" s="328">
        <f>IF(Tabela5[[#Totals],[Mão de Obras]]&lt;=4,Tabela5[[#This Row],[Custo do M2 limpo pelo Agente]]*Tabela5[[#This Row],[Área Final para Remuneração]],Tabela5[[#This Row],[Custo Total do M2 limpo]]*Tabela5[[#This Row],[Área Final para Remuneração]])</f>
        <v>941.34752693967812</v>
      </c>
      <c r="AA29" s="329">
        <f>IF(Tabela5[[#This Row],[Área Final para Remuneração]]="","",((Tabela5[[#This Row],[Área Efetiva em Diária]])*(8.8))/Tabela5[[#This Row],[Produtividade]]/24)</f>
        <v>0.10340000000000001</v>
      </c>
      <c r="AB29" s="329">
        <f>IF(Tabela5[[#This Row],[Área Final para Remuneração]]="","",((Tabela5[[#This Row],[Área Efetiva em Diária]])*(8.8))/Tabela5[[#This Row],[Produtividade]]/24*Tabela5[[#This Row],[Frequência]])</f>
        <v>0.31020000000000003</v>
      </c>
    </row>
    <row r="30" spans="1:28" ht="38.25">
      <c r="A30" s="333" t="s">
        <v>542</v>
      </c>
      <c r="B30" s="333" t="s">
        <v>595</v>
      </c>
      <c r="C30" s="333" t="s">
        <v>569</v>
      </c>
      <c r="D30" s="333" t="s">
        <v>544</v>
      </c>
      <c r="E30" s="334" t="s">
        <v>596</v>
      </c>
      <c r="F30" s="317" t="s">
        <v>329</v>
      </c>
      <c r="G30" s="318">
        <v>121.2</v>
      </c>
      <c r="H30" s="319" t="s">
        <v>341</v>
      </c>
      <c r="I30" s="319">
        <v>2700</v>
      </c>
      <c r="J30" s="319">
        <v>3</v>
      </c>
      <c r="K30" s="320">
        <f>IF(Tabela5[[#This Row],[Periodicidade]]="","",(VLOOKUP(Tabela5[[#This Row],[Periodicidade]],'PADRAO E REFERENCIA'!$F$3:$J$7,3,FALSE)*Tabela5[[#This Row],[Frequência]]))</f>
        <v>3</v>
      </c>
      <c r="L30" s="321">
        <f>IF(Tabela5[[#This Row],[Rotina Diária]]="","",Tabela5[[#This Row],[Tamanho Real]]*Tabela5[[#This Row],[Rotina Diária]])</f>
        <v>363.6</v>
      </c>
      <c r="M30" s="322">
        <f>Tabela5[[#This Row],[Área Efetiva em Diária]]/Tabela5[[#This Row],[Produtividade]]</f>
        <v>0.13466666666666668</v>
      </c>
      <c r="N30" s="323">
        <f>(IF(Tabela5[[#This Row],[Produtividade]]="","",1/Tabela5[[#This Row],[Produtividade]]))</f>
        <v>3.7037037037037035E-4</v>
      </c>
      <c r="O30" s="323">
        <f>IF(Tabela5[[#This Row],[Produtividade]]="","",(VLOOKUP(Tabela5[[#This Row],[Periodicidade]],Tabela3[#All],2,FALSE)))</f>
        <v>220</v>
      </c>
      <c r="P30" s="323">
        <f>1/Tabela5[[#This Row],[Frequência de Horas no Mês]]</f>
        <v>4.5454545454545452E-3</v>
      </c>
      <c r="Q30" s="323">
        <f>Tabela5[[#This Row],[Jornada de Trabalho mês]]*Tabela5[[#This Row],[Frequência de Horas no Mês]]*Tabela5[[#This Row],[Produtividade (1/M2)]]</f>
        <v>3.7037037037037035E-4</v>
      </c>
      <c r="R30" s="324">
        <f>IF(Tabela5[[#This Row],[Atividades]]&lt;&gt;"Roçar",'PLANILHA DE CUSTOS'!$G$14,'PLANILHA DE CUSTOS'!$G$15)</f>
        <v>2710.1714579257778</v>
      </c>
      <c r="S30" s="324">
        <f>'PLANILHA DE CUSTOS'!$G$92</f>
        <v>3139.8850132792086</v>
      </c>
      <c r="T30" s="325">
        <f>IF(Tabela5[[#This Row],[Proporção de Horas Trabalhadas pela Produtividade Adotada2]]="","",Tabela5[[#This Row],[Proporção de Horas Trabalhadas pela Produtividade Adotada2]]*Tabela5[[#This Row],[ Valor Total por Agente de Limpeza ]])</f>
        <v>1.003767206639177</v>
      </c>
      <c r="U30" s="325">
        <f>IF(Tabela5[[#This Row],[Proporção de Horas Trabalhadas pela Produtividade Adotada2]]="","",Tabela5[[#This Row],[ Valor Total por Líder de Serviços ]]/Tabela5[[#Totals],[Mão de Obras]]*Tabela5[[#This Row],[Proporção de Horas Trabalhadas pela Produtividade Adotada2]])</f>
        <v>0.23257049619727979</v>
      </c>
      <c r="V30" s="324">
        <f>IF(Tabela5[[#This Row],[Proporção de Horas Trabalhadas pela Produtividade Adotada2]]="","",Tabela5[[#This Row],[Custo do M2 limpo pelo Líder]]+Tabela5[[#This Row],[Custo do M2 limpo pelo Agente]])</f>
        <v>1.2363377028364568</v>
      </c>
      <c r="W30" s="326">
        <f>IF(Tabela5[[#This Row],[Proporção de Horas Trabalhadas pela Produtividade Adotada2]]="","",Tabela5[[#This Row],[Área Efetiva em Diária]])</f>
        <v>363.6</v>
      </c>
      <c r="X30" s="327">
        <f>Tabela5[[#This Row],[Custo do M2 limpo pelo Agente]]*Tabela5[[#This Row],[Área Efetiva em Diária]]</f>
        <v>364.96975633400479</v>
      </c>
      <c r="Y30" s="327">
        <f>Tabela5[[#This Row],[Custo do M2 limpo pelo Líder]]*Tabela5[[#This Row],[Área Efetiva em Diária]]</f>
        <v>84.562632417330931</v>
      </c>
      <c r="Z30" s="328">
        <f>IF(Tabela5[[#Totals],[Mão de Obras]]&lt;=4,Tabela5[[#This Row],[Custo do M2 limpo pelo Agente]]*Tabela5[[#This Row],[Área Final para Remuneração]],Tabela5[[#This Row],[Custo Total do M2 limpo]]*Tabela5[[#This Row],[Área Final para Remuneração]])</f>
        <v>449.53238875133576</v>
      </c>
      <c r="AA30" s="329">
        <f>IF(Tabela5[[#This Row],[Área Final para Remuneração]]="","",((Tabela5[[#This Row],[Área Efetiva em Diária]])*(8.8))/Tabela5[[#This Row],[Produtividade]]/24)</f>
        <v>4.9377777777777777E-2</v>
      </c>
      <c r="AB30" s="329">
        <f>IF(Tabela5[[#This Row],[Área Final para Remuneração]]="","",((Tabela5[[#This Row],[Área Efetiva em Diária]])*(8.8))/Tabela5[[#This Row],[Produtividade]]/24*Tabela5[[#This Row],[Frequência]])</f>
        <v>0.14813333333333334</v>
      </c>
    </row>
    <row r="31" spans="1:28">
      <c r="A31" s="333" t="s">
        <v>542</v>
      </c>
      <c r="B31" s="333" t="s">
        <v>296</v>
      </c>
      <c r="C31" s="333" t="s">
        <v>569</v>
      </c>
      <c r="D31" s="333" t="s">
        <v>544</v>
      </c>
      <c r="E31" s="334" t="s">
        <v>597</v>
      </c>
      <c r="F31" s="317" t="s">
        <v>338</v>
      </c>
      <c r="G31" s="318">
        <v>11.21</v>
      </c>
      <c r="H31" s="319" t="s">
        <v>341</v>
      </c>
      <c r="I31" s="319">
        <v>160</v>
      </c>
      <c r="J31" s="319">
        <v>2</v>
      </c>
      <c r="K31" s="320">
        <f>IF(Tabela5[[#This Row],[Periodicidade]]="","",(VLOOKUP(Tabela5[[#This Row],[Periodicidade]],'PADRAO E REFERENCIA'!$F$3:$J$7,3,FALSE)*Tabela5[[#This Row],[Frequência]]))</f>
        <v>2</v>
      </c>
      <c r="L31" s="321">
        <f>IF(Tabela5[[#This Row],[Rotina Diária]]="","",Tabela5[[#This Row],[Tamanho Real]]*Tabela5[[#This Row],[Rotina Diária]])</f>
        <v>22.42</v>
      </c>
      <c r="M31" s="322">
        <f>Tabela5[[#This Row],[Área Efetiva em Diária]]/Tabela5[[#This Row],[Produtividade]]</f>
        <v>0.140125</v>
      </c>
      <c r="N31" s="323">
        <f>(IF(Tabela5[[#This Row],[Produtividade]]="","",1/Tabela5[[#This Row],[Produtividade]]))</f>
        <v>6.2500000000000003E-3</v>
      </c>
      <c r="O31" s="323">
        <f>IF(Tabela5[[#This Row],[Produtividade]]="","",(VLOOKUP(Tabela5[[#This Row],[Periodicidade]],Tabela3[#All],2,FALSE)))</f>
        <v>220</v>
      </c>
      <c r="P31" s="323">
        <f>1/Tabela5[[#This Row],[Frequência de Horas no Mês]]</f>
        <v>4.5454545454545452E-3</v>
      </c>
      <c r="Q31" s="323">
        <f>Tabela5[[#This Row],[Jornada de Trabalho mês]]*Tabela5[[#This Row],[Frequência de Horas no Mês]]*Tabela5[[#This Row],[Produtividade (1/M2)]]</f>
        <v>6.2500000000000003E-3</v>
      </c>
      <c r="R31" s="324">
        <f>IF(Tabela5[[#This Row],[Atividades]]&lt;&gt;"Roçar",'PLANILHA DE CUSTOS'!$G$14,'PLANILHA DE CUSTOS'!$G$15)</f>
        <v>2710.1714579257778</v>
      </c>
      <c r="S31" s="324">
        <f>'PLANILHA DE CUSTOS'!$G$92</f>
        <v>3139.8850132792086</v>
      </c>
      <c r="T31" s="325">
        <f>IF(Tabela5[[#This Row],[Proporção de Horas Trabalhadas pela Produtividade Adotada2]]="","",Tabela5[[#This Row],[Proporção de Horas Trabalhadas pela Produtividade Adotada2]]*Tabela5[[#This Row],[ Valor Total por Agente de Limpeza ]])</f>
        <v>16.93857161203611</v>
      </c>
      <c r="U31" s="325">
        <f>IF(Tabela5[[#This Row],[Proporção de Horas Trabalhadas pela Produtividade Adotada2]]="","",Tabela5[[#This Row],[ Valor Total por Líder de Serviços ]]/Tabela5[[#Totals],[Mão de Obras]]*Tabela5[[#This Row],[Proporção de Horas Trabalhadas pela Produtividade Adotada2]])</f>
        <v>3.9246271233290972</v>
      </c>
      <c r="V31" s="324">
        <f>IF(Tabela5[[#This Row],[Proporção de Horas Trabalhadas pela Produtividade Adotada2]]="","",Tabela5[[#This Row],[Custo do M2 limpo pelo Líder]]+Tabela5[[#This Row],[Custo do M2 limpo pelo Agente]])</f>
        <v>20.863198735365209</v>
      </c>
      <c r="W31" s="326">
        <f>IF(Tabela5[[#This Row],[Proporção de Horas Trabalhadas pela Produtividade Adotada2]]="","",Tabela5[[#This Row],[Área Efetiva em Diária]])</f>
        <v>22.42</v>
      </c>
      <c r="X31" s="327">
        <f>Tabela5[[#This Row],[Custo do M2 limpo pelo Agente]]*Tabela5[[#This Row],[Área Efetiva em Diária]]</f>
        <v>379.76277554184963</v>
      </c>
      <c r="Y31" s="327">
        <f>Tabela5[[#This Row],[Custo do M2 limpo pelo Líder]]*Tabela5[[#This Row],[Área Efetiva em Diária]]</f>
        <v>87.990140105038364</v>
      </c>
      <c r="Z31" s="328">
        <f>IF(Tabela5[[#Totals],[Mão de Obras]]&lt;=4,Tabela5[[#This Row],[Custo do M2 limpo pelo Agente]]*Tabela5[[#This Row],[Área Final para Remuneração]],Tabela5[[#This Row],[Custo Total do M2 limpo]]*Tabela5[[#This Row],[Área Final para Remuneração]])</f>
        <v>467.75291564688803</v>
      </c>
      <c r="AA31" s="329">
        <f>IF(Tabela5[[#This Row],[Área Final para Remuneração]]="","",((Tabela5[[#This Row],[Área Efetiva em Diária]])*(8.8))/Tabela5[[#This Row],[Produtividade]]/24)</f>
        <v>5.137916666666667E-2</v>
      </c>
      <c r="AB31" s="329">
        <f>IF(Tabela5[[#This Row],[Área Final para Remuneração]]="","",((Tabela5[[#This Row],[Área Efetiva em Diária]])*(8.8))/Tabela5[[#This Row],[Produtividade]]/24*Tabela5[[#This Row],[Frequência]])</f>
        <v>0.10275833333333334</v>
      </c>
    </row>
    <row r="32" spans="1:28" ht="38.25">
      <c r="A32" s="333" t="s">
        <v>542</v>
      </c>
      <c r="B32" s="333" t="s">
        <v>598</v>
      </c>
      <c r="C32" s="333" t="s">
        <v>599</v>
      </c>
      <c r="D32" s="333" t="s">
        <v>544</v>
      </c>
      <c r="E32" s="334" t="s">
        <v>560</v>
      </c>
      <c r="F32" s="317" t="s">
        <v>329</v>
      </c>
      <c r="G32" s="318">
        <v>40.4</v>
      </c>
      <c r="H32" s="319" t="s">
        <v>342</v>
      </c>
      <c r="I32" s="319">
        <v>2700</v>
      </c>
      <c r="J32" s="319">
        <v>2</v>
      </c>
      <c r="K32" s="320">
        <f>IF(Tabela5[[#This Row],[Periodicidade]]="","",(VLOOKUP(Tabela5[[#This Row],[Periodicidade]],'PADRAO E REFERENCIA'!$F$3:$J$7,3,FALSE)*Tabela5[[#This Row],[Frequência]]))</f>
        <v>0.4</v>
      </c>
      <c r="L32" s="321">
        <f>IF(Tabela5[[#This Row],[Rotina Diária]]="","",Tabela5[[#This Row],[Tamanho Real]]*Tabela5[[#This Row],[Rotina Diária]])</f>
        <v>16.16</v>
      </c>
      <c r="M32" s="322">
        <f>Tabela5[[#This Row],[Área Efetiva em Diária]]/Tabela5[[#This Row],[Produtividade]]</f>
        <v>5.9851851851851854E-3</v>
      </c>
      <c r="N32" s="323">
        <f>(IF(Tabela5[[#This Row],[Produtividade]]="","",1/Tabela5[[#This Row],[Produtividade]]))</f>
        <v>3.7037037037037035E-4</v>
      </c>
      <c r="O32" s="323">
        <f>IF(Tabela5[[#This Row],[Produtividade]]="","",(VLOOKUP(Tabela5[[#This Row],[Periodicidade]],Tabela3[#All],2,FALSE)))</f>
        <v>44</v>
      </c>
      <c r="P32" s="323">
        <f>1/Tabela5[[#This Row],[Frequência de Horas no Mês]]</f>
        <v>2.2727272727272728E-2</v>
      </c>
      <c r="Q32" s="323">
        <f>Tabela5[[#This Row],[Jornada de Trabalho mês]]*Tabela5[[#This Row],[Frequência de Horas no Mês]]*Tabela5[[#This Row],[Produtividade (1/M2)]]</f>
        <v>3.7037037037037035E-4</v>
      </c>
      <c r="R32" s="324">
        <f>IF(Tabela5[[#This Row],[Atividades]]&lt;&gt;"Roçar",'PLANILHA DE CUSTOS'!$G$14,'PLANILHA DE CUSTOS'!$G$15)</f>
        <v>2710.1714579257778</v>
      </c>
      <c r="S32" s="324">
        <f>'PLANILHA DE CUSTOS'!$G$92</f>
        <v>3139.8850132792086</v>
      </c>
      <c r="T32" s="325">
        <f>IF(Tabela5[[#This Row],[Proporção de Horas Trabalhadas pela Produtividade Adotada2]]="","",Tabela5[[#This Row],[Proporção de Horas Trabalhadas pela Produtividade Adotada2]]*Tabela5[[#This Row],[ Valor Total por Agente de Limpeza ]])</f>
        <v>1.003767206639177</v>
      </c>
      <c r="U32" s="325">
        <f>IF(Tabela5[[#This Row],[Proporção de Horas Trabalhadas pela Produtividade Adotada2]]="","",Tabela5[[#This Row],[ Valor Total por Líder de Serviços ]]/Tabela5[[#Totals],[Mão de Obras]]*Tabela5[[#This Row],[Proporção de Horas Trabalhadas pela Produtividade Adotada2]])</f>
        <v>0.23257049619727979</v>
      </c>
      <c r="V32" s="324">
        <f>IF(Tabela5[[#This Row],[Proporção de Horas Trabalhadas pela Produtividade Adotada2]]="","",Tabela5[[#This Row],[Custo do M2 limpo pelo Líder]]+Tabela5[[#This Row],[Custo do M2 limpo pelo Agente]])</f>
        <v>1.2363377028364568</v>
      </c>
      <c r="W32" s="326">
        <f>IF(Tabela5[[#This Row],[Proporção de Horas Trabalhadas pela Produtividade Adotada2]]="","",Tabela5[[#This Row],[Área Efetiva em Diária]])</f>
        <v>16.16</v>
      </c>
      <c r="X32" s="327">
        <f>Tabela5[[#This Row],[Custo do M2 limpo pelo Agente]]*Tabela5[[#This Row],[Área Efetiva em Diária]]</f>
        <v>16.220878059289099</v>
      </c>
      <c r="Y32" s="327">
        <f>Tabela5[[#This Row],[Custo do M2 limpo pelo Líder]]*Tabela5[[#This Row],[Área Efetiva em Diária]]</f>
        <v>3.7583392185480413</v>
      </c>
      <c r="Z32" s="328">
        <f>IF(Tabela5[[#Totals],[Mão de Obras]]&lt;=4,Tabela5[[#This Row],[Custo do M2 limpo pelo Agente]]*Tabela5[[#This Row],[Área Final para Remuneração]],Tabela5[[#This Row],[Custo Total do M2 limpo]]*Tabela5[[#This Row],[Área Final para Remuneração]])</f>
        <v>19.979217277837144</v>
      </c>
      <c r="AA32" s="329">
        <f>IF(Tabela5[[#This Row],[Área Final para Remuneração]]="","",((Tabela5[[#This Row],[Área Efetiva em Diária]])*(8.8))/Tabela5[[#This Row],[Produtividade]]/24)</f>
        <v>2.1945679012345684E-3</v>
      </c>
      <c r="AB32" s="329">
        <f>IF(Tabela5[[#This Row],[Área Final para Remuneração]]="","",((Tabela5[[#This Row],[Área Efetiva em Diária]])*(8.8))/Tabela5[[#This Row],[Produtividade]]/24*Tabela5[[#This Row],[Frequência]])</f>
        <v>4.3891358024691369E-3</v>
      </c>
    </row>
    <row r="33" spans="1:28" ht="153">
      <c r="A33" s="333" t="s">
        <v>542</v>
      </c>
      <c r="B33" s="333" t="s">
        <v>600</v>
      </c>
      <c r="C33" s="333" t="s">
        <v>543</v>
      </c>
      <c r="D33" s="333" t="s">
        <v>544</v>
      </c>
      <c r="E33" s="334" t="s">
        <v>601</v>
      </c>
      <c r="F33" s="317" t="s">
        <v>323</v>
      </c>
      <c r="G33" s="318">
        <v>27</v>
      </c>
      <c r="H33" s="319" t="s">
        <v>341</v>
      </c>
      <c r="I33" s="319">
        <v>1200</v>
      </c>
      <c r="J33" s="319">
        <v>3</v>
      </c>
      <c r="K33" s="320">
        <f>IF(Tabela5[[#This Row],[Periodicidade]]="","",(VLOOKUP(Tabela5[[#This Row],[Periodicidade]],'PADRAO E REFERENCIA'!$F$3:$J$7,3,FALSE)*Tabela5[[#This Row],[Frequência]]))</f>
        <v>3</v>
      </c>
      <c r="L33" s="321">
        <f>IF(Tabela5[[#This Row],[Rotina Diária]]="","",Tabela5[[#This Row],[Tamanho Real]]*Tabela5[[#This Row],[Rotina Diária]])</f>
        <v>81</v>
      </c>
      <c r="M33" s="322">
        <f>Tabela5[[#This Row],[Área Efetiva em Diária]]/Tabela5[[#This Row],[Produtividade]]</f>
        <v>6.7500000000000004E-2</v>
      </c>
      <c r="N33" s="323">
        <f>(IF(Tabela5[[#This Row],[Produtividade]]="","",1/Tabela5[[#This Row],[Produtividade]]))</f>
        <v>8.3333333333333339E-4</v>
      </c>
      <c r="O33" s="323">
        <f>IF(Tabela5[[#This Row],[Produtividade]]="","",(VLOOKUP(Tabela5[[#This Row],[Periodicidade]],Tabela3[#All],2,FALSE)))</f>
        <v>220</v>
      </c>
      <c r="P33" s="323">
        <f>1/Tabela5[[#This Row],[Frequência de Horas no Mês]]</f>
        <v>4.5454545454545452E-3</v>
      </c>
      <c r="Q33" s="323">
        <f>Tabela5[[#This Row],[Jornada de Trabalho mês]]*Tabela5[[#This Row],[Frequência de Horas no Mês]]*Tabela5[[#This Row],[Produtividade (1/M2)]]</f>
        <v>8.3333333333333339E-4</v>
      </c>
      <c r="R33" s="324">
        <f>IF(Tabela5[[#This Row],[Atividades]]&lt;&gt;"Roçar",'PLANILHA DE CUSTOS'!$G$14,'PLANILHA DE CUSTOS'!$G$15)</f>
        <v>2710.1714579257778</v>
      </c>
      <c r="S33" s="324">
        <f>'PLANILHA DE CUSTOS'!$G$92</f>
        <v>3139.8850132792086</v>
      </c>
      <c r="T33" s="325">
        <f>IF(Tabela5[[#This Row],[Proporção de Horas Trabalhadas pela Produtividade Adotada2]]="","",Tabela5[[#This Row],[Proporção de Horas Trabalhadas pela Produtividade Adotada2]]*Tabela5[[#This Row],[ Valor Total por Agente de Limpeza ]])</f>
        <v>2.2584762149381481</v>
      </c>
      <c r="U33" s="325">
        <f>IF(Tabela5[[#This Row],[Proporção de Horas Trabalhadas pela Produtividade Adotada2]]="","",Tabela5[[#This Row],[ Valor Total por Líder de Serviços ]]/Tabela5[[#Totals],[Mão de Obras]]*Tabela5[[#This Row],[Proporção de Horas Trabalhadas pela Produtividade Adotada2]])</f>
        <v>0.52328361644387966</v>
      </c>
      <c r="V33" s="324">
        <f>IF(Tabela5[[#This Row],[Proporção de Horas Trabalhadas pela Produtividade Adotada2]]="","",Tabela5[[#This Row],[Custo do M2 limpo pelo Líder]]+Tabela5[[#This Row],[Custo do M2 limpo pelo Agente]])</f>
        <v>2.7817598313820278</v>
      </c>
      <c r="W33" s="326">
        <f>IF(Tabela5[[#This Row],[Proporção de Horas Trabalhadas pela Produtividade Adotada2]]="","",Tabela5[[#This Row],[Área Efetiva em Diária]])</f>
        <v>81</v>
      </c>
      <c r="X33" s="327">
        <f>Tabela5[[#This Row],[Custo do M2 limpo pelo Agente]]*Tabela5[[#This Row],[Área Efetiva em Diária]]</f>
        <v>182.93657340998999</v>
      </c>
      <c r="Y33" s="327">
        <f>Tabela5[[#This Row],[Custo do M2 limpo pelo Líder]]*Tabela5[[#This Row],[Área Efetiva em Diária]]</f>
        <v>42.38597293195425</v>
      </c>
      <c r="Z33" s="328">
        <f>IF(Tabela5[[#Totals],[Mão de Obras]]&lt;=4,Tabela5[[#This Row],[Custo do M2 limpo pelo Agente]]*Tabela5[[#This Row],[Área Final para Remuneração]],Tabela5[[#This Row],[Custo Total do M2 limpo]]*Tabela5[[#This Row],[Área Final para Remuneração]])</f>
        <v>225.32254634194425</v>
      </c>
      <c r="AA33" s="329">
        <f>IF(Tabela5[[#This Row],[Área Final para Remuneração]]="","",((Tabela5[[#This Row],[Área Efetiva em Diária]])*(8.8))/Tabela5[[#This Row],[Produtividade]]/24)</f>
        <v>2.4750000000000005E-2</v>
      </c>
      <c r="AB33" s="329">
        <f>IF(Tabela5[[#This Row],[Área Final para Remuneração]]="","",((Tabela5[[#This Row],[Área Efetiva em Diária]])*(8.8))/Tabela5[[#This Row],[Produtividade]]/24*Tabela5[[#This Row],[Frequência]])</f>
        <v>7.425000000000001E-2</v>
      </c>
    </row>
    <row r="34" spans="1:28" ht="127.5">
      <c r="A34" s="333" t="s">
        <v>542</v>
      </c>
      <c r="B34" s="333" t="s">
        <v>602</v>
      </c>
      <c r="C34" s="333" t="s">
        <v>543</v>
      </c>
      <c r="D34" s="333" t="s">
        <v>544</v>
      </c>
      <c r="E34" s="334" t="s">
        <v>603</v>
      </c>
      <c r="F34" s="317" t="s">
        <v>323</v>
      </c>
      <c r="G34" s="318">
        <v>21.72</v>
      </c>
      <c r="H34" s="319" t="s">
        <v>341</v>
      </c>
      <c r="I34" s="319">
        <v>1200</v>
      </c>
      <c r="J34" s="319">
        <v>3</v>
      </c>
      <c r="K34" s="320">
        <f>IF(Tabela5[[#This Row],[Periodicidade]]="","",(VLOOKUP(Tabela5[[#This Row],[Periodicidade]],'PADRAO E REFERENCIA'!$F$3:$J$7,3,FALSE)*Tabela5[[#This Row],[Frequência]]))</f>
        <v>3</v>
      </c>
      <c r="L34" s="321">
        <f>IF(Tabela5[[#This Row],[Rotina Diária]]="","",Tabela5[[#This Row],[Tamanho Real]]*Tabela5[[#This Row],[Rotina Diária]])</f>
        <v>65.16</v>
      </c>
      <c r="M34" s="322">
        <f>Tabela5[[#This Row],[Área Efetiva em Diária]]/Tabela5[[#This Row],[Produtividade]]</f>
        <v>5.4299999999999994E-2</v>
      </c>
      <c r="N34" s="323">
        <f>(IF(Tabela5[[#This Row],[Produtividade]]="","",1/Tabela5[[#This Row],[Produtividade]]))</f>
        <v>8.3333333333333339E-4</v>
      </c>
      <c r="O34" s="323">
        <f>IF(Tabela5[[#This Row],[Produtividade]]="","",(VLOOKUP(Tabela5[[#This Row],[Periodicidade]],Tabela3[#All],2,FALSE)))</f>
        <v>220</v>
      </c>
      <c r="P34" s="323">
        <f>1/Tabela5[[#This Row],[Frequência de Horas no Mês]]</f>
        <v>4.5454545454545452E-3</v>
      </c>
      <c r="Q34" s="323">
        <f>Tabela5[[#This Row],[Jornada de Trabalho mês]]*Tabela5[[#This Row],[Frequência de Horas no Mês]]*Tabela5[[#This Row],[Produtividade (1/M2)]]</f>
        <v>8.3333333333333339E-4</v>
      </c>
      <c r="R34" s="324">
        <f>IF(Tabela5[[#This Row],[Atividades]]&lt;&gt;"Roçar",'PLANILHA DE CUSTOS'!$G$14,'PLANILHA DE CUSTOS'!$G$15)</f>
        <v>2710.1714579257778</v>
      </c>
      <c r="S34" s="324">
        <f>'PLANILHA DE CUSTOS'!$G$92</f>
        <v>3139.8850132792086</v>
      </c>
      <c r="T34" s="325">
        <f>IF(Tabela5[[#This Row],[Proporção de Horas Trabalhadas pela Produtividade Adotada2]]="","",Tabela5[[#This Row],[Proporção de Horas Trabalhadas pela Produtividade Adotada2]]*Tabela5[[#This Row],[ Valor Total por Agente de Limpeza ]])</f>
        <v>2.2584762149381481</v>
      </c>
      <c r="U34" s="325">
        <f>IF(Tabela5[[#This Row],[Proporção de Horas Trabalhadas pela Produtividade Adotada2]]="","",Tabela5[[#This Row],[ Valor Total por Líder de Serviços ]]/Tabela5[[#Totals],[Mão de Obras]]*Tabela5[[#This Row],[Proporção de Horas Trabalhadas pela Produtividade Adotada2]])</f>
        <v>0.52328361644387966</v>
      </c>
      <c r="V34" s="324">
        <f>IF(Tabela5[[#This Row],[Proporção de Horas Trabalhadas pela Produtividade Adotada2]]="","",Tabela5[[#This Row],[Custo do M2 limpo pelo Líder]]+Tabela5[[#This Row],[Custo do M2 limpo pelo Agente]])</f>
        <v>2.7817598313820278</v>
      </c>
      <c r="W34" s="326">
        <f>IF(Tabela5[[#This Row],[Proporção de Horas Trabalhadas pela Produtividade Adotada2]]="","",Tabela5[[#This Row],[Área Efetiva em Diária]])</f>
        <v>65.16</v>
      </c>
      <c r="X34" s="327">
        <f>Tabela5[[#This Row],[Custo do M2 limpo pelo Agente]]*Tabela5[[#This Row],[Área Efetiva em Diária]]</f>
        <v>147.16231016536972</v>
      </c>
      <c r="Y34" s="327">
        <f>Tabela5[[#This Row],[Custo do M2 limpo pelo Líder]]*Tabela5[[#This Row],[Área Efetiva em Diária]]</f>
        <v>34.097160447483198</v>
      </c>
      <c r="Z34" s="328">
        <f>IF(Tabela5[[#Totals],[Mão de Obras]]&lt;=4,Tabela5[[#This Row],[Custo do M2 limpo pelo Agente]]*Tabela5[[#This Row],[Área Final para Remuneração]],Tabela5[[#This Row],[Custo Total do M2 limpo]]*Tabela5[[#This Row],[Área Final para Remuneração]])</f>
        <v>181.25947061285291</v>
      </c>
      <c r="AA34" s="329">
        <f>IF(Tabela5[[#This Row],[Área Final para Remuneração]]="","",((Tabela5[[#This Row],[Área Efetiva em Diária]])*(8.8))/Tabela5[[#This Row],[Produtividade]]/24)</f>
        <v>1.9910000000000001E-2</v>
      </c>
      <c r="AB34" s="329">
        <f>IF(Tabela5[[#This Row],[Área Final para Remuneração]]="","",((Tabela5[[#This Row],[Área Efetiva em Diária]])*(8.8))/Tabela5[[#This Row],[Produtividade]]/24*Tabela5[[#This Row],[Frequência]])</f>
        <v>5.9730000000000005E-2</v>
      </c>
    </row>
    <row r="35" spans="1:28" ht="153">
      <c r="A35" s="333" t="s">
        <v>542</v>
      </c>
      <c r="B35" s="333" t="s">
        <v>604</v>
      </c>
      <c r="C35" s="333" t="s">
        <v>543</v>
      </c>
      <c r="D35" s="333" t="s">
        <v>544</v>
      </c>
      <c r="E35" s="334" t="s">
        <v>575</v>
      </c>
      <c r="F35" s="317" t="s">
        <v>323</v>
      </c>
      <c r="G35" s="318">
        <v>23.52</v>
      </c>
      <c r="H35" s="319" t="s">
        <v>341</v>
      </c>
      <c r="I35" s="319">
        <v>1200</v>
      </c>
      <c r="J35" s="319">
        <v>3</v>
      </c>
      <c r="K35" s="320">
        <f>IF(Tabela5[[#This Row],[Periodicidade]]="","",(VLOOKUP(Tabela5[[#This Row],[Periodicidade]],'PADRAO E REFERENCIA'!$F$3:$J$7,3,FALSE)*Tabela5[[#This Row],[Frequência]]))</f>
        <v>3</v>
      </c>
      <c r="L35" s="321">
        <f>IF(Tabela5[[#This Row],[Rotina Diária]]="","",Tabela5[[#This Row],[Tamanho Real]]*Tabela5[[#This Row],[Rotina Diária]])</f>
        <v>70.56</v>
      </c>
      <c r="M35" s="322">
        <f>Tabela5[[#This Row],[Área Efetiva em Diária]]/Tabela5[[#This Row],[Produtividade]]</f>
        <v>5.8800000000000005E-2</v>
      </c>
      <c r="N35" s="323">
        <f>(IF(Tabela5[[#This Row],[Produtividade]]="","",1/Tabela5[[#This Row],[Produtividade]]))</f>
        <v>8.3333333333333339E-4</v>
      </c>
      <c r="O35" s="323">
        <f>IF(Tabela5[[#This Row],[Produtividade]]="","",(VLOOKUP(Tabela5[[#This Row],[Periodicidade]],Tabela3[#All],2,FALSE)))</f>
        <v>220</v>
      </c>
      <c r="P35" s="323">
        <f>1/Tabela5[[#This Row],[Frequência de Horas no Mês]]</f>
        <v>4.5454545454545452E-3</v>
      </c>
      <c r="Q35" s="323">
        <f>Tabela5[[#This Row],[Jornada de Trabalho mês]]*Tabela5[[#This Row],[Frequência de Horas no Mês]]*Tabela5[[#This Row],[Produtividade (1/M2)]]</f>
        <v>8.3333333333333339E-4</v>
      </c>
      <c r="R35" s="324">
        <f>IF(Tabela5[[#This Row],[Atividades]]&lt;&gt;"Roçar",'PLANILHA DE CUSTOS'!$G$14,'PLANILHA DE CUSTOS'!$G$15)</f>
        <v>2710.1714579257778</v>
      </c>
      <c r="S35" s="324">
        <f>'PLANILHA DE CUSTOS'!$G$92</f>
        <v>3139.8850132792086</v>
      </c>
      <c r="T35" s="325">
        <f>IF(Tabela5[[#This Row],[Proporção de Horas Trabalhadas pela Produtividade Adotada2]]="","",Tabela5[[#This Row],[Proporção de Horas Trabalhadas pela Produtividade Adotada2]]*Tabela5[[#This Row],[ Valor Total por Agente de Limpeza ]])</f>
        <v>2.2584762149381481</v>
      </c>
      <c r="U35" s="325">
        <f>IF(Tabela5[[#This Row],[Proporção de Horas Trabalhadas pela Produtividade Adotada2]]="","",Tabela5[[#This Row],[ Valor Total por Líder de Serviços ]]/Tabela5[[#Totals],[Mão de Obras]]*Tabela5[[#This Row],[Proporção de Horas Trabalhadas pela Produtividade Adotada2]])</f>
        <v>0.52328361644387966</v>
      </c>
      <c r="V35" s="324">
        <f>IF(Tabela5[[#This Row],[Proporção de Horas Trabalhadas pela Produtividade Adotada2]]="","",Tabela5[[#This Row],[Custo do M2 limpo pelo Líder]]+Tabela5[[#This Row],[Custo do M2 limpo pelo Agente]])</f>
        <v>2.7817598313820278</v>
      </c>
      <c r="W35" s="326">
        <f>IF(Tabela5[[#This Row],[Proporção de Horas Trabalhadas pela Produtividade Adotada2]]="","",Tabela5[[#This Row],[Área Efetiva em Diária]])</f>
        <v>70.56</v>
      </c>
      <c r="X35" s="327">
        <f>Tabela5[[#This Row],[Custo do M2 limpo pelo Agente]]*Tabela5[[#This Row],[Área Efetiva em Diária]]</f>
        <v>159.35808172603572</v>
      </c>
      <c r="Y35" s="327">
        <f>Tabela5[[#This Row],[Custo do M2 limpo pelo Líder]]*Tabela5[[#This Row],[Área Efetiva em Diária]]</f>
        <v>36.922891976280148</v>
      </c>
      <c r="Z35" s="328">
        <f>IF(Tabela5[[#Totals],[Mão de Obras]]&lt;=4,Tabela5[[#This Row],[Custo do M2 limpo pelo Agente]]*Tabela5[[#This Row],[Área Final para Remuneração]],Tabela5[[#This Row],[Custo Total do M2 limpo]]*Tabela5[[#This Row],[Área Final para Remuneração]])</f>
        <v>196.28097370231589</v>
      </c>
      <c r="AA35" s="329">
        <f>IF(Tabela5[[#This Row],[Área Final para Remuneração]]="","",((Tabela5[[#This Row],[Área Efetiva em Diária]])*(8.8))/Tabela5[[#This Row],[Produtividade]]/24)</f>
        <v>2.1560000000000006E-2</v>
      </c>
      <c r="AB35" s="329">
        <f>IF(Tabela5[[#This Row],[Área Final para Remuneração]]="","",((Tabela5[[#This Row],[Área Efetiva em Diária]])*(8.8))/Tabela5[[#This Row],[Produtividade]]/24*Tabela5[[#This Row],[Frequência]])</f>
        <v>6.4680000000000015E-2</v>
      </c>
    </row>
    <row r="36" spans="1:28" ht="25.5">
      <c r="A36" s="333" t="s">
        <v>542</v>
      </c>
      <c r="B36" s="333" t="s">
        <v>605</v>
      </c>
      <c r="C36" s="333" t="s">
        <v>569</v>
      </c>
      <c r="D36" s="333" t="s">
        <v>544</v>
      </c>
      <c r="E36" s="334" t="s">
        <v>606</v>
      </c>
      <c r="F36" s="317" t="s">
        <v>323</v>
      </c>
      <c r="G36" s="318">
        <v>11.18</v>
      </c>
      <c r="H36" s="319" t="s">
        <v>341</v>
      </c>
      <c r="I36" s="319">
        <v>1200</v>
      </c>
      <c r="J36" s="319">
        <v>3</v>
      </c>
      <c r="K36" s="320">
        <f>IF(Tabela5[[#This Row],[Periodicidade]]="","",(VLOOKUP(Tabela5[[#This Row],[Periodicidade]],'PADRAO E REFERENCIA'!$F$3:$J$7,3,FALSE)*Tabela5[[#This Row],[Frequência]]))</f>
        <v>3</v>
      </c>
      <c r="L36" s="321">
        <f>IF(Tabela5[[#This Row],[Rotina Diária]]="","",Tabela5[[#This Row],[Tamanho Real]]*Tabela5[[#This Row],[Rotina Diária]])</f>
        <v>33.54</v>
      </c>
      <c r="M36" s="322">
        <f>Tabela5[[#This Row],[Área Efetiva em Diária]]/Tabela5[[#This Row],[Produtividade]]</f>
        <v>2.7949999999999999E-2</v>
      </c>
      <c r="N36" s="323">
        <f>(IF(Tabela5[[#This Row],[Produtividade]]="","",1/Tabela5[[#This Row],[Produtividade]]))</f>
        <v>8.3333333333333339E-4</v>
      </c>
      <c r="O36" s="323">
        <f>IF(Tabela5[[#This Row],[Produtividade]]="","",(VLOOKUP(Tabela5[[#This Row],[Periodicidade]],Tabela3[#All],2,FALSE)))</f>
        <v>220</v>
      </c>
      <c r="P36" s="323">
        <f>1/Tabela5[[#This Row],[Frequência de Horas no Mês]]</f>
        <v>4.5454545454545452E-3</v>
      </c>
      <c r="Q36" s="323">
        <f>Tabela5[[#This Row],[Jornada de Trabalho mês]]*Tabela5[[#This Row],[Frequência de Horas no Mês]]*Tabela5[[#This Row],[Produtividade (1/M2)]]</f>
        <v>8.3333333333333339E-4</v>
      </c>
      <c r="R36" s="324">
        <f>IF(Tabela5[[#This Row],[Atividades]]&lt;&gt;"Roçar",'PLANILHA DE CUSTOS'!$G$14,'PLANILHA DE CUSTOS'!$G$15)</f>
        <v>2710.1714579257778</v>
      </c>
      <c r="S36" s="324">
        <f>'PLANILHA DE CUSTOS'!$G$92</f>
        <v>3139.8850132792086</v>
      </c>
      <c r="T36" s="325">
        <f>IF(Tabela5[[#This Row],[Proporção de Horas Trabalhadas pela Produtividade Adotada2]]="","",Tabela5[[#This Row],[Proporção de Horas Trabalhadas pela Produtividade Adotada2]]*Tabela5[[#This Row],[ Valor Total por Agente de Limpeza ]])</f>
        <v>2.2584762149381481</v>
      </c>
      <c r="U36" s="325">
        <f>IF(Tabela5[[#This Row],[Proporção de Horas Trabalhadas pela Produtividade Adotada2]]="","",Tabela5[[#This Row],[ Valor Total por Líder de Serviços ]]/Tabela5[[#Totals],[Mão de Obras]]*Tabela5[[#This Row],[Proporção de Horas Trabalhadas pela Produtividade Adotada2]])</f>
        <v>0.52328361644387966</v>
      </c>
      <c r="V36" s="324">
        <f>IF(Tabela5[[#This Row],[Proporção de Horas Trabalhadas pela Produtividade Adotada2]]="","",Tabela5[[#This Row],[Custo do M2 limpo pelo Líder]]+Tabela5[[#This Row],[Custo do M2 limpo pelo Agente]])</f>
        <v>2.7817598313820278</v>
      </c>
      <c r="W36" s="326">
        <f>IF(Tabela5[[#This Row],[Proporção de Horas Trabalhadas pela Produtividade Adotada2]]="","",Tabela5[[#This Row],[Área Efetiva em Diária]])</f>
        <v>33.54</v>
      </c>
      <c r="X36" s="327">
        <f>Tabela5[[#This Row],[Custo do M2 limpo pelo Agente]]*Tabela5[[#This Row],[Área Efetiva em Diária]]</f>
        <v>75.749292249025487</v>
      </c>
      <c r="Y36" s="327">
        <f>Tabela5[[#This Row],[Custo do M2 limpo pelo Líder]]*Tabela5[[#This Row],[Área Efetiva em Diária]]</f>
        <v>17.550932495527725</v>
      </c>
      <c r="Z36" s="328">
        <f>IF(Tabela5[[#Totals],[Mão de Obras]]&lt;=4,Tabela5[[#This Row],[Custo do M2 limpo pelo Agente]]*Tabela5[[#This Row],[Área Final para Remuneração]],Tabela5[[#This Row],[Custo Total do M2 limpo]]*Tabela5[[#This Row],[Área Final para Remuneração]])</f>
        <v>93.300224744553205</v>
      </c>
      <c r="AA36" s="329">
        <f>IF(Tabela5[[#This Row],[Área Final para Remuneração]]="","",((Tabela5[[#This Row],[Área Efetiva em Diária]])*(8.8))/Tabela5[[#This Row],[Produtividade]]/24)</f>
        <v>1.0248333333333335E-2</v>
      </c>
      <c r="AB36" s="329">
        <f>IF(Tabela5[[#This Row],[Área Final para Remuneração]]="","",((Tabela5[[#This Row],[Área Efetiva em Diária]])*(8.8))/Tabela5[[#This Row],[Produtividade]]/24*Tabela5[[#This Row],[Frequência]])</f>
        <v>3.0745000000000005E-2</v>
      </c>
    </row>
    <row r="37" spans="1:28" ht="51">
      <c r="A37" s="333" t="s">
        <v>542</v>
      </c>
      <c r="B37" s="333" t="s">
        <v>221</v>
      </c>
      <c r="C37" s="333" t="s">
        <v>543</v>
      </c>
      <c r="D37" s="333" t="s">
        <v>544</v>
      </c>
      <c r="E37" s="334" t="s">
        <v>607</v>
      </c>
      <c r="F37" s="317" t="s">
        <v>323</v>
      </c>
      <c r="G37" s="318">
        <v>9.0299999999999994</v>
      </c>
      <c r="H37" s="319" t="s">
        <v>341</v>
      </c>
      <c r="I37" s="319">
        <v>1200</v>
      </c>
      <c r="J37" s="319">
        <v>3</v>
      </c>
      <c r="K37" s="320">
        <f>IF(Tabela5[[#This Row],[Periodicidade]]="","",(VLOOKUP(Tabela5[[#This Row],[Periodicidade]],'PADRAO E REFERENCIA'!$F$3:$J$7,3,FALSE)*Tabela5[[#This Row],[Frequência]]))</f>
        <v>3</v>
      </c>
      <c r="L37" s="321">
        <f>IF(Tabela5[[#This Row],[Rotina Diária]]="","",Tabela5[[#This Row],[Tamanho Real]]*Tabela5[[#This Row],[Rotina Diária]])</f>
        <v>27.089999999999996</v>
      </c>
      <c r="M37" s="322">
        <f>Tabela5[[#This Row],[Área Efetiva em Diária]]/Tabela5[[#This Row],[Produtividade]]</f>
        <v>2.2574999999999998E-2</v>
      </c>
      <c r="N37" s="323">
        <f>(IF(Tabela5[[#This Row],[Produtividade]]="","",1/Tabela5[[#This Row],[Produtividade]]))</f>
        <v>8.3333333333333339E-4</v>
      </c>
      <c r="O37" s="323">
        <f>IF(Tabela5[[#This Row],[Produtividade]]="","",(VLOOKUP(Tabela5[[#This Row],[Periodicidade]],Tabela3[#All],2,FALSE)))</f>
        <v>220</v>
      </c>
      <c r="P37" s="323">
        <f>1/Tabela5[[#This Row],[Frequência de Horas no Mês]]</f>
        <v>4.5454545454545452E-3</v>
      </c>
      <c r="Q37" s="323">
        <f>Tabela5[[#This Row],[Jornada de Trabalho mês]]*Tabela5[[#This Row],[Frequência de Horas no Mês]]*Tabela5[[#This Row],[Produtividade (1/M2)]]</f>
        <v>8.3333333333333339E-4</v>
      </c>
      <c r="R37" s="324">
        <f>IF(Tabela5[[#This Row],[Atividades]]&lt;&gt;"Roçar",'PLANILHA DE CUSTOS'!$G$14,'PLANILHA DE CUSTOS'!$G$15)</f>
        <v>2710.1714579257778</v>
      </c>
      <c r="S37" s="324">
        <f>'PLANILHA DE CUSTOS'!$G$92</f>
        <v>3139.8850132792086</v>
      </c>
      <c r="T37" s="325">
        <f>IF(Tabela5[[#This Row],[Proporção de Horas Trabalhadas pela Produtividade Adotada2]]="","",Tabela5[[#This Row],[Proporção de Horas Trabalhadas pela Produtividade Adotada2]]*Tabela5[[#This Row],[ Valor Total por Agente de Limpeza ]])</f>
        <v>2.2584762149381481</v>
      </c>
      <c r="U37" s="325">
        <f>IF(Tabela5[[#This Row],[Proporção de Horas Trabalhadas pela Produtividade Adotada2]]="","",Tabela5[[#This Row],[ Valor Total por Líder de Serviços ]]/Tabela5[[#Totals],[Mão de Obras]]*Tabela5[[#This Row],[Proporção de Horas Trabalhadas pela Produtividade Adotada2]])</f>
        <v>0.52328361644387966</v>
      </c>
      <c r="V37" s="324">
        <f>IF(Tabela5[[#This Row],[Proporção de Horas Trabalhadas pela Produtividade Adotada2]]="","",Tabela5[[#This Row],[Custo do M2 limpo pelo Líder]]+Tabela5[[#This Row],[Custo do M2 limpo pelo Agente]])</f>
        <v>2.7817598313820278</v>
      </c>
      <c r="W37" s="326">
        <f>IF(Tabela5[[#This Row],[Proporção de Horas Trabalhadas pela Produtividade Adotada2]]="","",Tabela5[[#This Row],[Área Efetiva em Diária]])</f>
        <v>27.089999999999996</v>
      </c>
      <c r="X37" s="327">
        <f>Tabela5[[#This Row],[Custo do M2 limpo pelo Agente]]*Tabela5[[#This Row],[Área Efetiva em Diária]]</f>
        <v>61.182120662674421</v>
      </c>
      <c r="Y37" s="327">
        <f>Tabela5[[#This Row],[Custo do M2 limpo pelo Líder]]*Tabela5[[#This Row],[Área Efetiva em Diária]]</f>
        <v>14.175753169464699</v>
      </c>
      <c r="Z37" s="328">
        <f>IF(Tabela5[[#Totals],[Mão de Obras]]&lt;=4,Tabela5[[#This Row],[Custo do M2 limpo pelo Agente]]*Tabela5[[#This Row],[Área Final para Remuneração]],Tabela5[[#This Row],[Custo Total do M2 limpo]]*Tabela5[[#This Row],[Área Final para Remuneração]])</f>
        <v>75.35787383213912</v>
      </c>
      <c r="AA37" s="329">
        <f>IF(Tabela5[[#This Row],[Área Final para Remuneração]]="","",((Tabela5[[#This Row],[Área Efetiva em Diária]])*(8.8))/Tabela5[[#This Row],[Produtividade]]/24)</f>
        <v>8.2775000000000001E-3</v>
      </c>
      <c r="AB37" s="329">
        <f>IF(Tabela5[[#This Row],[Área Final para Remuneração]]="","",((Tabela5[[#This Row],[Área Efetiva em Diária]])*(8.8))/Tabela5[[#This Row],[Produtividade]]/24*Tabela5[[#This Row],[Frequência]])</f>
        <v>2.48325E-2</v>
      </c>
    </row>
    <row r="38" spans="1:28" ht="178.5">
      <c r="A38" s="333" t="s">
        <v>542</v>
      </c>
      <c r="B38" s="333" t="s">
        <v>608</v>
      </c>
      <c r="C38" s="333" t="s">
        <v>543</v>
      </c>
      <c r="D38" s="333" t="s">
        <v>544</v>
      </c>
      <c r="E38" s="334" t="s">
        <v>609</v>
      </c>
      <c r="F38" s="317" t="s">
        <v>323</v>
      </c>
      <c r="G38" s="318">
        <v>23.79</v>
      </c>
      <c r="H38" s="319" t="s">
        <v>341</v>
      </c>
      <c r="I38" s="319">
        <v>1200</v>
      </c>
      <c r="J38" s="319">
        <v>3</v>
      </c>
      <c r="K38" s="320">
        <f>IF(Tabela5[[#This Row],[Periodicidade]]="","",(VLOOKUP(Tabela5[[#This Row],[Periodicidade]],'PADRAO E REFERENCIA'!$F$3:$J$7,3,FALSE)*Tabela5[[#This Row],[Frequência]]))</f>
        <v>3</v>
      </c>
      <c r="L38" s="321">
        <f>IF(Tabela5[[#This Row],[Rotina Diária]]="","",Tabela5[[#This Row],[Tamanho Real]]*Tabela5[[#This Row],[Rotina Diária]])</f>
        <v>71.37</v>
      </c>
      <c r="M38" s="322">
        <f>Tabela5[[#This Row],[Área Efetiva em Diária]]/Tabela5[[#This Row],[Produtividade]]</f>
        <v>5.9475000000000007E-2</v>
      </c>
      <c r="N38" s="323">
        <f>(IF(Tabela5[[#This Row],[Produtividade]]="","",1/Tabela5[[#This Row],[Produtividade]]))</f>
        <v>8.3333333333333339E-4</v>
      </c>
      <c r="O38" s="323">
        <f>IF(Tabela5[[#This Row],[Produtividade]]="","",(VLOOKUP(Tabela5[[#This Row],[Periodicidade]],Tabela3[#All],2,FALSE)))</f>
        <v>220</v>
      </c>
      <c r="P38" s="323">
        <f>1/Tabela5[[#This Row],[Frequência de Horas no Mês]]</f>
        <v>4.5454545454545452E-3</v>
      </c>
      <c r="Q38" s="323">
        <f>Tabela5[[#This Row],[Jornada de Trabalho mês]]*Tabela5[[#This Row],[Frequência de Horas no Mês]]*Tabela5[[#This Row],[Produtividade (1/M2)]]</f>
        <v>8.3333333333333339E-4</v>
      </c>
      <c r="R38" s="324">
        <f>IF(Tabela5[[#This Row],[Atividades]]&lt;&gt;"Roçar",'PLANILHA DE CUSTOS'!$G$14,'PLANILHA DE CUSTOS'!$G$15)</f>
        <v>2710.1714579257778</v>
      </c>
      <c r="S38" s="324">
        <f>'PLANILHA DE CUSTOS'!$G$92</f>
        <v>3139.8850132792086</v>
      </c>
      <c r="T38" s="325">
        <f>IF(Tabela5[[#This Row],[Proporção de Horas Trabalhadas pela Produtividade Adotada2]]="","",Tabela5[[#This Row],[Proporção de Horas Trabalhadas pela Produtividade Adotada2]]*Tabela5[[#This Row],[ Valor Total por Agente de Limpeza ]])</f>
        <v>2.2584762149381481</v>
      </c>
      <c r="U38" s="325">
        <f>IF(Tabela5[[#This Row],[Proporção de Horas Trabalhadas pela Produtividade Adotada2]]="","",Tabela5[[#This Row],[ Valor Total por Líder de Serviços ]]/Tabela5[[#Totals],[Mão de Obras]]*Tabela5[[#This Row],[Proporção de Horas Trabalhadas pela Produtividade Adotada2]])</f>
        <v>0.52328361644387966</v>
      </c>
      <c r="V38" s="324">
        <f>IF(Tabela5[[#This Row],[Proporção de Horas Trabalhadas pela Produtividade Adotada2]]="","",Tabela5[[#This Row],[Custo do M2 limpo pelo Líder]]+Tabela5[[#This Row],[Custo do M2 limpo pelo Agente]])</f>
        <v>2.7817598313820278</v>
      </c>
      <c r="W38" s="326">
        <f>IF(Tabela5[[#This Row],[Proporção de Horas Trabalhadas pela Produtividade Adotada2]]="","",Tabela5[[#This Row],[Área Efetiva em Diária]])</f>
        <v>71.37</v>
      </c>
      <c r="X38" s="327">
        <f>Tabela5[[#This Row],[Custo do M2 limpo pelo Agente]]*Tabela5[[#This Row],[Área Efetiva em Diária]]</f>
        <v>161.18744746013564</v>
      </c>
      <c r="Y38" s="327">
        <f>Tabela5[[#This Row],[Custo do M2 limpo pelo Líder]]*Tabela5[[#This Row],[Área Efetiva em Diária]]</f>
        <v>37.346751705599694</v>
      </c>
      <c r="Z38" s="328">
        <f>IF(Tabela5[[#Totals],[Mão de Obras]]&lt;=4,Tabela5[[#This Row],[Custo do M2 limpo pelo Agente]]*Tabela5[[#This Row],[Área Final para Remuneração]],Tabela5[[#This Row],[Custo Total do M2 limpo]]*Tabela5[[#This Row],[Área Final para Remuneração]])</f>
        <v>198.53419916573534</v>
      </c>
      <c r="AA38" s="329">
        <f>IF(Tabela5[[#This Row],[Área Final para Remuneração]]="","",((Tabela5[[#This Row],[Área Efetiva em Diária]])*(8.8))/Tabela5[[#This Row],[Produtividade]]/24)</f>
        <v>2.1807500000000004E-2</v>
      </c>
      <c r="AB38" s="329">
        <f>IF(Tabela5[[#This Row],[Área Final para Remuneração]]="","",((Tabela5[[#This Row],[Área Efetiva em Diária]])*(8.8))/Tabela5[[#This Row],[Produtividade]]/24*Tabela5[[#This Row],[Frequência]])</f>
        <v>6.5422500000000008E-2</v>
      </c>
    </row>
    <row r="39" spans="1:28" ht="178.5">
      <c r="A39" s="333" t="s">
        <v>542</v>
      </c>
      <c r="B39" s="333" t="s">
        <v>610</v>
      </c>
      <c r="C39" s="333" t="s">
        <v>543</v>
      </c>
      <c r="D39" s="333" t="s">
        <v>544</v>
      </c>
      <c r="E39" s="334" t="s">
        <v>609</v>
      </c>
      <c r="F39" s="317" t="s">
        <v>323</v>
      </c>
      <c r="G39" s="318">
        <v>17.7</v>
      </c>
      <c r="H39" s="319" t="s">
        <v>341</v>
      </c>
      <c r="I39" s="319">
        <v>1200</v>
      </c>
      <c r="J39" s="319">
        <v>3</v>
      </c>
      <c r="K39" s="320">
        <f>IF(Tabela5[[#This Row],[Periodicidade]]="","",(VLOOKUP(Tabela5[[#This Row],[Periodicidade]],'PADRAO E REFERENCIA'!$F$3:$J$7,3,FALSE)*Tabela5[[#This Row],[Frequência]]))</f>
        <v>3</v>
      </c>
      <c r="L39" s="321">
        <f>IF(Tabela5[[#This Row],[Rotina Diária]]="","",Tabela5[[#This Row],[Tamanho Real]]*Tabela5[[#This Row],[Rotina Diária]])</f>
        <v>53.099999999999994</v>
      </c>
      <c r="M39" s="322">
        <f>Tabela5[[#This Row],[Área Efetiva em Diária]]/Tabela5[[#This Row],[Produtividade]]</f>
        <v>4.4249999999999998E-2</v>
      </c>
      <c r="N39" s="323">
        <f>(IF(Tabela5[[#This Row],[Produtividade]]="","",1/Tabela5[[#This Row],[Produtividade]]))</f>
        <v>8.3333333333333339E-4</v>
      </c>
      <c r="O39" s="323">
        <f>IF(Tabela5[[#This Row],[Produtividade]]="","",(VLOOKUP(Tabela5[[#This Row],[Periodicidade]],Tabela3[#All],2,FALSE)))</f>
        <v>220</v>
      </c>
      <c r="P39" s="323">
        <f>1/Tabela5[[#This Row],[Frequência de Horas no Mês]]</f>
        <v>4.5454545454545452E-3</v>
      </c>
      <c r="Q39" s="323">
        <f>Tabela5[[#This Row],[Jornada de Trabalho mês]]*Tabela5[[#This Row],[Frequência de Horas no Mês]]*Tabela5[[#This Row],[Produtividade (1/M2)]]</f>
        <v>8.3333333333333339E-4</v>
      </c>
      <c r="R39" s="324">
        <f>IF(Tabela5[[#This Row],[Atividades]]&lt;&gt;"Roçar",'PLANILHA DE CUSTOS'!$G$14,'PLANILHA DE CUSTOS'!$G$15)</f>
        <v>2710.1714579257778</v>
      </c>
      <c r="S39" s="324">
        <f>'PLANILHA DE CUSTOS'!$G$92</f>
        <v>3139.8850132792086</v>
      </c>
      <c r="T39" s="325">
        <f>IF(Tabela5[[#This Row],[Proporção de Horas Trabalhadas pela Produtividade Adotada2]]="","",Tabela5[[#This Row],[Proporção de Horas Trabalhadas pela Produtividade Adotada2]]*Tabela5[[#This Row],[ Valor Total por Agente de Limpeza ]])</f>
        <v>2.2584762149381481</v>
      </c>
      <c r="U39" s="325">
        <f>IF(Tabela5[[#This Row],[Proporção de Horas Trabalhadas pela Produtividade Adotada2]]="","",Tabela5[[#This Row],[ Valor Total por Líder de Serviços ]]/Tabela5[[#Totals],[Mão de Obras]]*Tabela5[[#This Row],[Proporção de Horas Trabalhadas pela Produtividade Adotada2]])</f>
        <v>0.52328361644387966</v>
      </c>
      <c r="V39" s="324">
        <f>IF(Tabela5[[#This Row],[Proporção de Horas Trabalhadas pela Produtividade Adotada2]]="","",Tabela5[[#This Row],[Custo do M2 limpo pelo Líder]]+Tabela5[[#This Row],[Custo do M2 limpo pelo Agente]])</f>
        <v>2.7817598313820278</v>
      </c>
      <c r="W39" s="326">
        <f>IF(Tabela5[[#This Row],[Proporção de Horas Trabalhadas pela Produtividade Adotada2]]="","",Tabela5[[#This Row],[Área Efetiva em Diária]])</f>
        <v>53.099999999999994</v>
      </c>
      <c r="X39" s="327">
        <f>Tabela5[[#This Row],[Custo do M2 limpo pelo Agente]]*Tabela5[[#This Row],[Área Efetiva em Diária]]</f>
        <v>119.92508701321565</v>
      </c>
      <c r="Y39" s="327">
        <f>Tabela5[[#This Row],[Custo do M2 limpo pelo Líder]]*Tabela5[[#This Row],[Área Efetiva em Diária]]</f>
        <v>27.786360033170006</v>
      </c>
      <c r="Z39" s="328">
        <f>IF(Tabela5[[#Totals],[Mão de Obras]]&lt;=4,Tabela5[[#This Row],[Custo do M2 limpo pelo Agente]]*Tabela5[[#This Row],[Área Final para Remuneração]],Tabela5[[#This Row],[Custo Total do M2 limpo]]*Tabela5[[#This Row],[Área Final para Remuneração]])</f>
        <v>147.71144704638567</v>
      </c>
      <c r="AA39" s="329">
        <f>IF(Tabela5[[#This Row],[Área Final para Remuneração]]="","",((Tabela5[[#This Row],[Área Efetiva em Diária]])*(8.8))/Tabela5[[#This Row],[Produtividade]]/24)</f>
        <v>1.6225E-2</v>
      </c>
      <c r="AB39" s="329">
        <f>IF(Tabela5[[#This Row],[Área Final para Remuneração]]="","",((Tabela5[[#This Row],[Área Efetiva em Diária]])*(8.8))/Tabela5[[#This Row],[Produtividade]]/24*Tabela5[[#This Row],[Frequência]])</f>
        <v>4.8674999999999996E-2</v>
      </c>
    </row>
    <row r="40" spans="1:28" ht="25.5">
      <c r="A40" s="333" t="s">
        <v>542</v>
      </c>
      <c r="B40" s="333" t="s">
        <v>611</v>
      </c>
      <c r="C40" s="333" t="s">
        <v>588</v>
      </c>
      <c r="D40" s="333" t="s">
        <v>544</v>
      </c>
      <c r="E40" s="334" t="s">
        <v>612</v>
      </c>
      <c r="F40" s="317" t="s">
        <v>335</v>
      </c>
      <c r="G40" s="318">
        <v>49.82</v>
      </c>
      <c r="H40" s="319" t="s">
        <v>341</v>
      </c>
      <c r="I40" s="319">
        <v>160</v>
      </c>
      <c r="J40" s="319">
        <v>2</v>
      </c>
      <c r="K40" s="320">
        <f>IF(Tabela5[[#This Row],[Periodicidade]]="","",(VLOOKUP(Tabela5[[#This Row],[Periodicidade]],'PADRAO E REFERENCIA'!$F$3:$J$7,3,FALSE)*Tabela5[[#This Row],[Frequência]]))</f>
        <v>2</v>
      </c>
      <c r="L40" s="321">
        <f>IF(Tabela5[[#This Row],[Rotina Diária]]="","",Tabela5[[#This Row],[Tamanho Real]]*Tabela5[[#This Row],[Rotina Diária]])</f>
        <v>99.64</v>
      </c>
      <c r="M40" s="322">
        <f>Tabela5[[#This Row],[Área Efetiva em Diária]]/Tabela5[[#This Row],[Produtividade]]</f>
        <v>0.62275000000000003</v>
      </c>
      <c r="N40" s="323">
        <f>(IF(Tabela5[[#This Row],[Produtividade]]="","",1/Tabela5[[#This Row],[Produtividade]]))</f>
        <v>6.2500000000000003E-3</v>
      </c>
      <c r="O40" s="323">
        <f>IF(Tabela5[[#This Row],[Produtividade]]="","",(VLOOKUP(Tabela5[[#This Row],[Periodicidade]],Tabela3[#All],2,FALSE)))</f>
        <v>220</v>
      </c>
      <c r="P40" s="323">
        <f>1/Tabela5[[#This Row],[Frequência de Horas no Mês]]</f>
        <v>4.5454545454545452E-3</v>
      </c>
      <c r="Q40" s="323">
        <f>Tabela5[[#This Row],[Jornada de Trabalho mês]]*Tabela5[[#This Row],[Frequência de Horas no Mês]]*Tabela5[[#This Row],[Produtividade (1/M2)]]</f>
        <v>6.2500000000000003E-3</v>
      </c>
      <c r="R40" s="324">
        <f>IF(Tabela5[[#This Row],[Atividades]]&lt;&gt;"Roçar",'PLANILHA DE CUSTOS'!$G$14,'PLANILHA DE CUSTOS'!$G$15)</f>
        <v>2710.1714579257778</v>
      </c>
      <c r="S40" s="324">
        <f>'PLANILHA DE CUSTOS'!$G$92</f>
        <v>3139.8850132792086</v>
      </c>
      <c r="T40" s="325">
        <f>IF(Tabela5[[#This Row],[Proporção de Horas Trabalhadas pela Produtividade Adotada2]]="","",Tabela5[[#This Row],[Proporção de Horas Trabalhadas pela Produtividade Adotada2]]*Tabela5[[#This Row],[ Valor Total por Agente de Limpeza ]])</f>
        <v>16.93857161203611</v>
      </c>
      <c r="U40" s="325">
        <f>IF(Tabela5[[#This Row],[Proporção de Horas Trabalhadas pela Produtividade Adotada2]]="","",Tabela5[[#This Row],[ Valor Total por Líder de Serviços ]]/Tabela5[[#Totals],[Mão de Obras]]*Tabela5[[#This Row],[Proporção de Horas Trabalhadas pela Produtividade Adotada2]])</f>
        <v>3.9246271233290972</v>
      </c>
      <c r="V40" s="324">
        <f>IF(Tabela5[[#This Row],[Proporção de Horas Trabalhadas pela Produtividade Adotada2]]="","",Tabela5[[#This Row],[Custo do M2 limpo pelo Líder]]+Tabela5[[#This Row],[Custo do M2 limpo pelo Agente]])</f>
        <v>20.863198735365209</v>
      </c>
      <c r="W40" s="326">
        <f>IF(Tabela5[[#This Row],[Proporção de Horas Trabalhadas pela Produtividade Adotada2]]="","",Tabela5[[#This Row],[Área Efetiva em Diária]])</f>
        <v>99.64</v>
      </c>
      <c r="X40" s="327">
        <f>Tabela5[[#This Row],[Custo do M2 limpo pelo Agente]]*Tabela5[[#This Row],[Área Efetiva em Diária]]</f>
        <v>1687.759275423278</v>
      </c>
      <c r="Y40" s="327">
        <f>Tabela5[[#This Row],[Custo do M2 limpo pelo Líder]]*Tabela5[[#This Row],[Área Efetiva em Diária]]</f>
        <v>391.04984656851127</v>
      </c>
      <c r="Z40" s="328">
        <f>IF(Tabela5[[#Totals],[Mão de Obras]]&lt;=4,Tabela5[[#This Row],[Custo do M2 limpo pelo Agente]]*Tabela5[[#This Row],[Área Final para Remuneração]],Tabela5[[#This Row],[Custo Total do M2 limpo]]*Tabela5[[#This Row],[Área Final para Remuneração]])</f>
        <v>2078.8091219917897</v>
      </c>
      <c r="AA40" s="329">
        <f>IF(Tabela5[[#This Row],[Área Final para Remuneração]]="","",((Tabela5[[#This Row],[Área Efetiva em Diária]])*(8.8))/Tabela5[[#This Row],[Produtividade]]/24)</f>
        <v>0.22834166666666669</v>
      </c>
      <c r="AB40" s="329">
        <f>IF(Tabela5[[#This Row],[Área Final para Remuneração]]="","",((Tabela5[[#This Row],[Área Efetiva em Diária]])*(8.8))/Tabela5[[#This Row],[Produtividade]]/24*Tabela5[[#This Row],[Frequência]])</f>
        <v>0.45668333333333339</v>
      </c>
    </row>
    <row r="41" spans="1:28" ht="153">
      <c r="A41" s="333" t="s">
        <v>542</v>
      </c>
      <c r="B41" s="333" t="s">
        <v>613</v>
      </c>
      <c r="C41" s="333" t="s">
        <v>543</v>
      </c>
      <c r="D41" s="333" t="s">
        <v>544</v>
      </c>
      <c r="E41" s="334" t="s">
        <v>614</v>
      </c>
      <c r="F41" s="317" t="s">
        <v>323</v>
      </c>
      <c r="G41" s="318">
        <v>49.29</v>
      </c>
      <c r="H41" s="319" t="s">
        <v>341</v>
      </c>
      <c r="I41" s="319">
        <v>1200</v>
      </c>
      <c r="J41" s="319">
        <v>3</v>
      </c>
      <c r="K41" s="320">
        <f>IF(Tabela5[[#This Row],[Periodicidade]]="","",(VLOOKUP(Tabela5[[#This Row],[Periodicidade]],'PADRAO E REFERENCIA'!$F$3:$J$7,3,FALSE)*Tabela5[[#This Row],[Frequência]]))</f>
        <v>3</v>
      </c>
      <c r="L41" s="321">
        <f>IF(Tabela5[[#This Row],[Rotina Diária]]="","",Tabela5[[#This Row],[Tamanho Real]]*Tabela5[[#This Row],[Rotina Diária]])</f>
        <v>147.87</v>
      </c>
      <c r="M41" s="322">
        <f>Tabela5[[#This Row],[Área Efetiva em Diária]]/Tabela5[[#This Row],[Produtividade]]</f>
        <v>0.123225</v>
      </c>
      <c r="N41" s="323">
        <f>(IF(Tabela5[[#This Row],[Produtividade]]="","",1/Tabela5[[#This Row],[Produtividade]]))</f>
        <v>8.3333333333333339E-4</v>
      </c>
      <c r="O41" s="323">
        <f>IF(Tabela5[[#This Row],[Produtividade]]="","",(VLOOKUP(Tabela5[[#This Row],[Periodicidade]],Tabela3[#All],2,FALSE)))</f>
        <v>220</v>
      </c>
      <c r="P41" s="323">
        <f>1/Tabela5[[#This Row],[Frequência de Horas no Mês]]</f>
        <v>4.5454545454545452E-3</v>
      </c>
      <c r="Q41" s="323">
        <f>Tabela5[[#This Row],[Jornada de Trabalho mês]]*Tabela5[[#This Row],[Frequência de Horas no Mês]]*Tabela5[[#This Row],[Produtividade (1/M2)]]</f>
        <v>8.3333333333333339E-4</v>
      </c>
      <c r="R41" s="324">
        <f>IF(Tabela5[[#This Row],[Atividades]]&lt;&gt;"Roçar",'PLANILHA DE CUSTOS'!$G$14,'PLANILHA DE CUSTOS'!$G$15)</f>
        <v>2710.1714579257778</v>
      </c>
      <c r="S41" s="324">
        <f>'PLANILHA DE CUSTOS'!$G$92</f>
        <v>3139.8850132792086</v>
      </c>
      <c r="T41" s="325">
        <f>IF(Tabela5[[#This Row],[Proporção de Horas Trabalhadas pela Produtividade Adotada2]]="","",Tabela5[[#This Row],[Proporção de Horas Trabalhadas pela Produtividade Adotada2]]*Tabela5[[#This Row],[ Valor Total por Agente de Limpeza ]])</f>
        <v>2.2584762149381481</v>
      </c>
      <c r="U41" s="325">
        <f>IF(Tabela5[[#This Row],[Proporção de Horas Trabalhadas pela Produtividade Adotada2]]="","",Tabela5[[#This Row],[ Valor Total por Líder de Serviços ]]/Tabela5[[#Totals],[Mão de Obras]]*Tabela5[[#This Row],[Proporção de Horas Trabalhadas pela Produtividade Adotada2]])</f>
        <v>0.52328361644387966</v>
      </c>
      <c r="V41" s="324">
        <f>IF(Tabela5[[#This Row],[Proporção de Horas Trabalhadas pela Produtividade Adotada2]]="","",Tabela5[[#This Row],[Custo do M2 limpo pelo Líder]]+Tabela5[[#This Row],[Custo do M2 limpo pelo Agente]])</f>
        <v>2.7817598313820278</v>
      </c>
      <c r="W41" s="326">
        <f>IF(Tabela5[[#This Row],[Proporção de Horas Trabalhadas pela Produtividade Adotada2]]="","",Tabela5[[#This Row],[Área Efetiva em Diária]])</f>
        <v>147.87</v>
      </c>
      <c r="X41" s="327">
        <f>Tabela5[[#This Row],[Custo do M2 limpo pelo Agente]]*Tabela5[[#This Row],[Área Efetiva em Diária]]</f>
        <v>333.96087790290397</v>
      </c>
      <c r="Y41" s="327">
        <f>Tabela5[[#This Row],[Custo do M2 limpo pelo Líder]]*Tabela5[[#This Row],[Área Efetiva em Diária]]</f>
        <v>77.377948363556484</v>
      </c>
      <c r="Z41" s="328">
        <f>IF(Tabela5[[#Totals],[Mão de Obras]]&lt;=4,Tabela5[[#This Row],[Custo do M2 limpo pelo Agente]]*Tabela5[[#This Row],[Área Final para Remuneração]],Tabela5[[#This Row],[Custo Total do M2 limpo]]*Tabela5[[#This Row],[Área Final para Remuneração]])</f>
        <v>411.33882626646044</v>
      </c>
      <c r="AA41" s="329">
        <f>IF(Tabela5[[#This Row],[Área Final para Remuneração]]="","",((Tabela5[[#This Row],[Área Efetiva em Diária]])*(8.8))/Tabela5[[#This Row],[Produtividade]]/24)</f>
        <v>4.5182500000000007E-2</v>
      </c>
      <c r="AB41" s="329">
        <f>IF(Tabela5[[#This Row],[Área Final para Remuneração]]="","",((Tabela5[[#This Row],[Área Efetiva em Diária]])*(8.8))/Tabela5[[#This Row],[Produtividade]]/24*Tabela5[[#This Row],[Frequência]])</f>
        <v>0.13554750000000002</v>
      </c>
    </row>
    <row r="42" spans="1:28" ht="153">
      <c r="A42" s="333" t="s">
        <v>542</v>
      </c>
      <c r="B42" s="333" t="s">
        <v>615</v>
      </c>
      <c r="C42" s="333" t="s">
        <v>543</v>
      </c>
      <c r="D42" s="333" t="s">
        <v>544</v>
      </c>
      <c r="E42" s="334" t="s">
        <v>614</v>
      </c>
      <c r="F42" s="317" t="s">
        <v>323</v>
      </c>
      <c r="G42" s="318">
        <v>49.29</v>
      </c>
      <c r="H42" s="319" t="s">
        <v>341</v>
      </c>
      <c r="I42" s="319">
        <v>1200</v>
      </c>
      <c r="J42" s="319">
        <v>3</v>
      </c>
      <c r="K42" s="320">
        <f>IF(Tabela5[[#This Row],[Periodicidade]]="","",(VLOOKUP(Tabela5[[#This Row],[Periodicidade]],'PADRAO E REFERENCIA'!$F$3:$J$7,3,FALSE)*Tabela5[[#This Row],[Frequência]]))</f>
        <v>3</v>
      </c>
      <c r="L42" s="321">
        <f>IF(Tabela5[[#This Row],[Rotina Diária]]="","",Tabela5[[#This Row],[Tamanho Real]]*Tabela5[[#This Row],[Rotina Diária]])</f>
        <v>147.87</v>
      </c>
      <c r="M42" s="322">
        <f>Tabela5[[#This Row],[Área Efetiva em Diária]]/Tabela5[[#This Row],[Produtividade]]</f>
        <v>0.123225</v>
      </c>
      <c r="N42" s="323">
        <f>(IF(Tabela5[[#This Row],[Produtividade]]="","",1/Tabela5[[#This Row],[Produtividade]]))</f>
        <v>8.3333333333333339E-4</v>
      </c>
      <c r="O42" s="323">
        <f>IF(Tabela5[[#This Row],[Produtividade]]="","",(VLOOKUP(Tabela5[[#This Row],[Periodicidade]],Tabela3[#All],2,FALSE)))</f>
        <v>220</v>
      </c>
      <c r="P42" s="323">
        <f>1/Tabela5[[#This Row],[Frequência de Horas no Mês]]</f>
        <v>4.5454545454545452E-3</v>
      </c>
      <c r="Q42" s="323">
        <f>Tabela5[[#This Row],[Jornada de Trabalho mês]]*Tabela5[[#This Row],[Frequência de Horas no Mês]]*Tabela5[[#This Row],[Produtividade (1/M2)]]</f>
        <v>8.3333333333333339E-4</v>
      </c>
      <c r="R42" s="324">
        <f>IF(Tabela5[[#This Row],[Atividades]]&lt;&gt;"Roçar",'PLANILHA DE CUSTOS'!$G$14,'PLANILHA DE CUSTOS'!$G$15)</f>
        <v>2710.1714579257778</v>
      </c>
      <c r="S42" s="324">
        <f>'PLANILHA DE CUSTOS'!$G$92</f>
        <v>3139.8850132792086</v>
      </c>
      <c r="T42" s="325">
        <f>IF(Tabela5[[#This Row],[Proporção de Horas Trabalhadas pela Produtividade Adotada2]]="","",Tabela5[[#This Row],[Proporção de Horas Trabalhadas pela Produtividade Adotada2]]*Tabela5[[#This Row],[ Valor Total por Agente de Limpeza ]])</f>
        <v>2.2584762149381481</v>
      </c>
      <c r="U42" s="325">
        <f>IF(Tabela5[[#This Row],[Proporção de Horas Trabalhadas pela Produtividade Adotada2]]="","",Tabela5[[#This Row],[ Valor Total por Líder de Serviços ]]/Tabela5[[#Totals],[Mão de Obras]]*Tabela5[[#This Row],[Proporção de Horas Trabalhadas pela Produtividade Adotada2]])</f>
        <v>0.52328361644387966</v>
      </c>
      <c r="V42" s="324">
        <f>IF(Tabela5[[#This Row],[Proporção de Horas Trabalhadas pela Produtividade Adotada2]]="","",Tabela5[[#This Row],[Custo do M2 limpo pelo Líder]]+Tabela5[[#This Row],[Custo do M2 limpo pelo Agente]])</f>
        <v>2.7817598313820278</v>
      </c>
      <c r="W42" s="326">
        <f>IF(Tabela5[[#This Row],[Proporção de Horas Trabalhadas pela Produtividade Adotada2]]="","",Tabela5[[#This Row],[Área Efetiva em Diária]])</f>
        <v>147.87</v>
      </c>
      <c r="X42" s="327">
        <f>Tabela5[[#This Row],[Custo do M2 limpo pelo Agente]]*Tabela5[[#This Row],[Área Efetiva em Diária]]</f>
        <v>333.96087790290397</v>
      </c>
      <c r="Y42" s="327">
        <f>Tabela5[[#This Row],[Custo do M2 limpo pelo Líder]]*Tabela5[[#This Row],[Área Efetiva em Diária]]</f>
        <v>77.377948363556484</v>
      </c>
      <c r="Z42" s="328">
        <f>IF(Tabela5[[#Totals],[Mão de Obras]]&lt;=4,Tabela5[[#This Row],[Custo do M2 limpo pelo Agente]]*Tabela5[[#This Row],[Área Final para Remuneração]],Tabela5[[#This Row],[Custo Total do M2 limpo]]*Tabela5[[#This Row],[Área Final para Remuneração]])</f>
        <v>411.33882626646044</v>
      </c>
      <c r="AA42" s="329">
        <f>IF(Tabela5[[#This Row],[Área Final para Remuneração]]="","",((Tabela5[[#This Row],[Área Efetiva em Diária]])*(8.8))/Tabela5[[#This Row],[Produtividade]]/24)</f>
        <v>4.5182500000000007E-2</v>
      </c>
      <c r="AB42" s="329">
        <f>IF(Tabela5[[#This Row],[Área Final para Remuneração]]="","",((Tabela5[[#This Row],[Área Efetiva em Diária]])*(8.8))/Tabela5[[#This Row],[Produtividade]]/24*Tabela5[[#This Row],[Frequência]])</f>
        <v>0.13554750000000002</v>
      </c>
    </row>
    <row r="43" spans="1:28" ht="153">
      <c r="A43" s="333" t="s">
        <v>542</v>
      </c>
      <c r="B43" s="333" t="s">
        <v>616</v>
      </c>
      <c r="C43" s="333" t="s">
        <v>543</v>
      </c>
      <c r="D43" s="333" t="s">
        <v>544</v>
      </c>
      <c r="E43" s="334" t="s">
        <v>614</v>
      </c>
      <c r="F43" s="317" t="s">
        <v>323</v>
      </c>
      <c r="G43" s="318">
        <v>44.52</v>
      </c>
      <c r="H43" s="319" t="s">
        <v>341</v>
      </c>
      <c r="I43" s="319">
        <v>1200</v>
      </c>
      <c r="J43" s="319">
        <v>3</v>
      </c>
      <c r="K43" s="320">
        <f>IF(Tabela5[[#This Row],[Periodicidade]]="","",(VLOOKUP(Tabela5[[#This Row],[Periodicidade]],'PADRAO E REFERENCIA'!$F$3:$J$7,3,FALSE)*Tabela5[[#This Row],[Frequência]]))</f>
        <v>3</v>
      </c>
      <c r="L43" s="321">
        <f>IF(Tabela5[[#This Row],[Rotina Diária]]="","",Tabela5[[#This Row],[Tamanho Real]]*Tabela5[[#This Row],[Rotina Diária]])</f>
        <v>133.56</v>
      </c>
      <c r="M43" s="322">
        <f>Tabela5[[#This Row],[Área Efetiva em Diária]]/Tabela5[[#This Row],[Produtividade]]</f>
        <v>0.1113</v>
      </c>
      <c r="N43" s="323">
        <f>(IF(Tabela5[[#This Row],[Produtividade]]="","",1/Tabela5[[#This Row],[Produtividade]]))</f>
        <v>8.3333333333333339E-4</v>
      </c>
      <c r="O43" s="323">
        <f>IF(Tabela5[[#This Row],[Produtividade]]="","",(VLOOKUP(Tabela5[[#This Row],[Periodicidade]],Tabela3[#All],2,FALSE)))</f>
        <v>220</v>
      </c>
      <c r="P43" s="323">
        <f>1/Tabela5[[#This Row],[Frequência de Horas no Mês]]</f>
        <v>4.5454545454545452E-3</v>
      </c>
      <c r="Q43" s="323">
        <f>Tabela5[[#This Row],[Jornada de Trabalho mês]]*Tabela5[[#This Row],[Frequência de Horas no Mês]]*Tabela5[[#This Row],[Produtividade (1/M2)]]</f>
        <v>8.3333333333333339E-4</v>
      </c>
      <c r="R43" s="324">
        <f>IF(Tabela5[[#This Row],[Atividades]]&lt;&gt;"Roçar",'PLANILHA DE CUSTOS'!$G$14,'PLANILHA DE CUSTOS'!$G$15)</f>
        <v>2710.1714579257778</v>
      </c>
      <c r="S43" s="324">
        <f>'PLANILHA DE CUSTOS'!$G$92</f>
        <v>3139.8850132792086</v>
      </c>
      <c r="T43" s="325">
        <f>IF(Tabela5[[#This Row],[Proporção de Horas Trabalhadas pela Produtividade Adotada2]]="","",Tabela5[[#This Row],[Proporção de Horas Trabalhadas pela Produtividade Adotada2]]*Tabela5[[#This Row],[ Valor Total por Agente de Limpeza ]])</f>
        <v>2.2584762149381481</v>
      </c>
      <c r="U43" s="325">
        <f>IF(Tabela5[[#This Row],[Proporção de Horas Trabalhadas pela Produtividade Adotada2]]="","",Tabela5[[#This Row],[ Valor Total por Líder de Serviços ]]/Tabela5[[#Totals],[Mão de Obras]]*Tabela5[[#This Row],[Proporção de Horas Trabalhadas pela Produtividade Adotada2]])</f>
        <v>0.52328361644387966</v>
      </c>
      <c r="V43" s="324">
        <f>IF(Tabela5[[#This Row],[Proporção de Horas Trabalhadas pela Produtividade Adotada2]]="","",Tabela5[[#This Row],[Custo do M2 limpo pelo Líder]]+Tabela5[[#This Row],[Custo do M2 limpo pelo Agente]])</f>
        <v>2.7817598313820278</v>
      </c>
      <c r="W43" s="326">
        <f>IF(Tabela5[[#This Row],[Proporção de Horas Trabalhadas pela Produtividade Adotada2]]="","",Tabela5[[#This Row],[Área Efetiva em Diária]])</f>
        <v>133.56</v>
      </c>
      <c r="X43" s="327">
        <f>Tabela5[[#This Row],[Custo do M2 limpo pelo Agente]]*Tabela5[[#This Row],[Área Efetiva em Diária]]</f>
        <v>301.64208326713907</v>
      </c>
      <c r="Y43" s="327">
        <f>Tabela5[[#This Row],[Custo do M2 limpo pelo Líder]]*Tabela5[[#This Row],[Área Efetiva em Diária]]</f>
        <v>69.889759812244563</v>
      </c>
      <c r="Z43" s="328">
        <f>IF(Tabela5[[#Totals],[Mão de Obras]]&lt;=4,Tabela5[[#This Row],[Custo do M2 limpo pelo Agente]]*Tabela5[[#This Row],[Área Final para Remuneração]],Tabela5[[#This Row],[Custo Total do M2 limpo]]*Tabela5[[#This Row],[Área Final para Remuneração]])</f>
        <v>371.53184307938363</v>
      </c>
      <c r="AA43" s="329">
        <f>IF(Tabela5[[#This Row],[Área Final para Remuneração]]="","",((Tabela5[[#This Row],[Área Efetiva em Diária]])*(8.8))/Tabela5[[#This Row],[Produtividade]]/24)</f>
        <v>4.0810000000000006E-2</v>
      </c>
      <c r="AB43" s="329">
        <f>IF(Tabela5[[#This Row],[Área Final para Remuneração]]="","",((Tabela5[[#This Row],[Área Efetiva em Diária]])*(8.8))/Tabela5[[#This Row],[Produtividade]]/24*Tabela5[[#This Row],[Frequência]])</f>
        <v>0.12243000000000001</v>
      </c>
    </row>
    <row r="44" spans="1:28" ht="153">
      <c r="A44" s="333" t="s">
        <v>542</v>
      </c>
      <c r="B44" s="333" t="s">
        <v>617</v>
      </c>
      <c r="C44" s="333" t="s">
        <v>543</v>
      </c>
      <c r="D44" s="333" t="s">
        <v>544</v>
      </c>
      <c r="E44" s="334" t="s">
        <v>614</v>
      </c>
      <c r="F44" s="317" t="s">
        <v>324</v>
      </c>
      <c r="G44" s="318">
        <v>45.36</v>
      </c>
      <c r="H44" s="319" t="s">
        <v>341</v>
      </c>
      <c r="I44" s="319">
        <v>396</v>
      </c>
      <c r="J44" s="319">
        <v>3</v>
      </c>
      <c r="K44" s="335">
        <f>IF(Tabela5[[#This Row],[Periodicidade]]="","",(VLOOKUP(Tabela5[[#This Row],[Periodicidade]],'PADRAO E REFERENCIA'!$F$3:$J$7,3,FALSE)*Tabela5[[#This Row],[Frequência]]))</f>
        <v>3</v>
      </c>
      <c r="L44" s="321">
        <f>IF(Tabela5[[#This Row],[Rotina Diária]]="","",Tabela5[[#This Row],[Tamanho Real]]*Tabela5[[#This Row],[Rotina Diária]])</f>
        <v>136.07999999999998</v>
      </c>
      <c r="M44" s="322">
        <f>Tabela5[[#This Row],[Área Efetiva em Diária]]/Tabela5[[#This Row],[Produtividade]]</f>
        <v>0.34363636363636357</v>
      </c>
      <c r="N44" s="323">
        <f>(IF(Tabela5[[#This Row],[Produtividade]]="","",1/Tabela5[[#This Row],[Produtividade]]))</f>
        <v>2.5252525252525255E-3</v>
      </c>
      <c r="O44" s="323">
        <f>IF(Tabela5[[#This Row],[Produtividade]]="","",(VLOOKUP(Tabela5[[#This Row],[Periodicidade]],Tabela3[#All],2,FALSE)))</f>
        <v>220</v>
      </c>
      <c r="P44" s="323">
        <f>1/Tabela5[[#This Row],[Frequência de Horas no Mês]]</f>
        <v>4.5454545454545452E-3</v>
      </c>
      <c r="Q44" s="323">
        <f>Tabela5[[#This Row],[Jornada de Trabalho mês]]*Tabela5[[#This Row],[Frequência de Horas no Mês]]*Tabela5[[#This Row],[Produtividade (1/M2)]]</f>
        <v>2.5252525252525255E-3</v>
      </c>
      <c r="R44" s="324">
        <f>IF(Tabela5[[#This Row],[Atividades]]&lt;&gt;"Roçar",'PLANILHA DE CUSTOS'!$G$14,'PLANILHA DE CUSTOS'!$G$15)</f>
        <v>2710.1714579257778</v>
      </c>
      <c r="S44" s="324">
        <f>'PLANILHA DE CUSTOS'!$G$92</f>
        <v>3139.8850132792086</v>
      </c>
      <c r="T44" s="325">
        <f>IF(Tabela5[[#This Row],[Proporção de Horas Trabalhadas pela Produtividade Adotada2]]="","",Tabela5[[#This Row],[Proporção de Horas Trabalhadas pela Produtividade Adotada2]]*Tabela5[[#This Row],[ Valor Total por Agente de Limpeza ]])</f>
        <v>6.8438673179943885</v>
      </c>
      <c r="U44" s="325">
        <f>IF(Tabela5[[#This Row],[Proporção de Horas Trabalhadas pela Produtividade Adotada2]]="","",Tabela5[[#This Row],[ Valor Total por Líder de Serviços ]]/Tabela5[[#Totals],[Mão de Obras]]*Tabela5[[#This Row],[Proporção de Horas Trabalhadas pela Produtividade Adotada2]])</f>
        <v>1.5857079286178171</v>
      </c>
      <c r="V44" s="324">
        <f>IF(Tabela5[[#This Row],[Proporção de Horas Trabalhadas pela Produtividade Adotada2]]="","",Tabela5[[#This Row],[Custo do M2 limpo pelo Líder]]+Tabela5[[#This Row],[Custo do M2 limpo pelo Agente]])</f>
        <v>8.429575246612206</v>
      </c>
      <c r="W44" s="326">
        <f>IF(Tabela5[[#This Row],[Proporção de Horas Trabalhadas pela Produtividade Adotada2]]="","",Tabela5[[#This Row],[Área Efetiva em Diária]])</f>
        <v>136.07999999999998</v>
      </c>
      <c r="X44" s="327">
        <f>Tabela5[[#This Row],[Custo do M2 limpo pelo Agente]]*Tabela5[[#This Row],[Área Efetiva em Diária]]</f>
        <v>931.3134646326763</v>
      </c>
      <c r="Y44" s="327">
        <f>Tabela5[[#This Row],[Custo do M2 limpo pelo Líder]]*Tabela5[[#This Row],[Área Efetiva em Diária]]</f>
        <v>215.78313492631253</v>
      </c>
      <c r="Z44" s="328">
        <f>IF(Tabela5[[#Totals],[Mão de Obras]]&lt;=4,Tabela5[[#This Row],[Custo do M2 limpo pelo Agente]]*Tabela5[[#This Row],[Área Final para Remuneração]],Tabela5[[#This Row],[Custo Total do M2 limpo]]*Tabela5[[#This Row],[Área Final para Remuneração]])</f>
        <v>1147.0965995589888</v>
      </c>
      <c r="AA44" s="329">
        <f>IF(Tabela5[[#This Row],[Área Final para Remuneração]]="","",((Tabela5[[#This Row],[Área Efetiva em Diária]])*(8.8))/Tabela5[[#This Row],[Produtividade]]/24)</f>
        <v>0.12599999999999997</v>
      </c>
      <c r="AB44" s="329">
        <f>IF(Tabela5[[#This Row],[Área Final para Remuneração]]="","",((Tabela5[[#This Row],[Área Efetiva em Diária]])*(8.8))/Tabela5[[#This Row],[Produtividade]]/24*Tabela5[[#This Row],[Frequência]])</f>
        <v>0.37799999999999989</v>
      </c>
    </row>
    <row r="45" spans="1:28" ht="51">
      <c r="A45" s="333" t="s">
        <v>542</v>
      </c>
      <c r="B45" s="333" t="s">
        <v>618</v>
      </c>
      <c r="C45" s="333" t="s">
        <v>543</v>
      </c>
      <c r="D45" s="333" t="s">
        <v>544</v>
      </c>
      <c r="E45" s="334" t="s">
        <v>567</v>
      </c>
      <c r="F45" s="317" t="s">
        <v>328</v>
      </c>
      <c r="G45" s="318">
        <v>13.53</v>
      </c>
      <c r="H45" s="319" t="s">
        <v>341</v>
      </c>
      <c r="I45" s="319">
        <v>300</v>
      </c>
      <c r="J45" s="319">
        <v>3</v>
      </c>
      <c r="K45" s="335">
        <f>IF(Tabela5[[#This Row],[Periodicidade]]="","",(VLOOKUP(Tabela5[[#This Row],[Periodicidade]],'PADRAO E REFERENCIA'!$F$3:$J$7,3,FALSE)*Tabela5[[#This Row],[Frequência]]))</f>
        <v>3</v>
      </c>
      <c r="L45" s="321">
        <f>IF(Tabela5[[#This Row],[Rotina Diária]]="","",Tabela5[[#This Row],[Tamanho Real]]*Tabela5[[#This Row],[Rotina Diária]])</f>
        <v>40.589999999999996</v>
      </c>
      <c r="M45" s="322">
        <f>Tabela5[[#This Row],[Área Efetiva em Diária]]/Tabela5[[#This Row],[Produtividade]]</f>
        <v>0.13529999999999998</v>
      </c>
      <c r="N45" s="331">
        <f>(IF(Tabela5[[#This Row],[Produtividade]]="","",1/Tabela5[[#This Row],[Produtividade]]))</f>
        <v>3.3333333333333335E-3</v>
      </c>
      <c r="O45" s="331">
        <f>IF(Tabela5[[#This Row],[Produtividade]]="","",(VLOOKUP(Tabela5[[#This Row],[Periodicidade]],Tabela3[#All],2,FALSE)))</f>
        <v>220</v>
      </c>
      <c r="P45" s="331">
        <f>1/Tabela5[[#This Row],[Frequência de Horas no Mês]]</f>
        <v>4.5454545454545452E-3</v>
      </c>
      <c r="Q45" s="331">
        <f>Tabela5[[#This Row],[Jornada de Trabalho mês]]*Tabela5[[#This Row],[Frequência de Horas no Mês]]*Tabela5[[#This Row],[Produtividade (1/M2)]]</f>
        <v>3.3333333333333335E-3</v>
      </c>
      <c r="R45" s="332">
        <f>IF(Tabela5[[#This Row],[Atividades]]&lt;&gt;"Roçar",'PLANILHA DE CUSTOS'!$G$14,'PLANILHA DE CUSTOS'!$G$15)</f>
        <v>2710.1714579257778</v>
      </c>
      <c r="S45" s="324">
        <f>'PLANILHA DE CUSTOS'!$G$92</f>
        <v>3139.8850132792086</v>
      </c>
      <c r="T45" s="325">
        <f>IF(Tabela5[[#This Row],[Proporção de Horas Trabalhadas pela Produtividade Adotada2]]="","",Tabela5[[#This Row],[Proporção de Horas Trabalhadas pela Produtividade Adotada2]]*Tabela5[[#This Row],[ Valor Total por Agente de Limpeza ]])</f>
        <v>9.0339048597525924</v>
      </c>
      <c r="U45" s="325">
        <f>IF(Tabela5[[#This Row],[Proporção de Horas Trabalhadas pela Produtividade Adotada2]]="","",Tabela5[[#This Row],[ Valor Total por Líder de Serviços ]]/Tabela5[[#Totals],[Mão de Obras]]*Tabela5[[#This Row],[Proporção de Horas Trabalhadas pela Produtividade Adotada2]])</f>
        <v>2.0931344657755186</v>
      </c>
      <c r="V45" s="324">
        <f>IF(Tabela5[[#This Row],[Proporção de Horas Trabalhadas pela Produtividade Adotada2]]="","",Tabela5[[#This Row],[Custo do M2 limpo pelo Líder]]+Tabela5[[#This Row],[Custo do M2 limpo pelo Agente]])</f>
        <v>11.127039325528111</v>
      </c>
      <c r="W45" s="326">
        <f>IF(Tabela5[[#This Row],[Proporção de Horas Trabalhadas pela Produtividade Adotada2]]="","",Tabela5[[#This Row],[Área Efetiva em Diária]])</f>
        <v>40.589999999999996</v>
      </c>
      <c r="X45" s="327">
        <f>Tabela5[[#This Row],[Custo do M2 limpo pelo Agente]]*Tabela5[[#This Row],[Área Efetiva em Diária]]</f>
        <v>366.68619825735772</v>
      </c>
      <c r="Y45" s="327">
        <f>Tabela5[[#This Row],[Custo do M2 limpo pelo Líder]]*Tabela5[[#This Row],[Área Efetiva em Diária]]</f>
        <v>84.960327965828299</v>
      </c>
      <c r="Z45" s="328">
        <f>IF(Tabela5[[#Totals],[Mão de Obras]]&lt;=4,Tabela5[[#This Row],[Custo do M2 limpo pelo Agente]]*Tabela5[[#This Row],[Área Final para Remuneração]],Tabela5[[#This Row],[Custo Total do M2 limpo]]*Tabela5[[#This Row],[Área Final para Remuneração]])</f>
        <v>451.64652622318596</v>
      </c>
      <c r="AA45" s="329">
        <f>IF(Tabela5[[#This Row],[Área Final para Remuneração]]="","",((Tabela5[[#This Row],[Área Efetiva em Diária]])*(8.8))/Tabela5[[#This Row],[Produtividade]]/24)</f>
        <v>4.9609999999999994E-2</v>
      </c>
      <c r="AB45" s="329">
        <f>IF(Tabela5[[#This Row],[Área Final para Remuneração]]="","",((Tabela5[[#This Row],[Área Efetiva em Diária]])*(8.8))/Tabela5[[#This Row],[Produtividade]]/24*Tabela5[[#This Row],[Frequência]])</f>
        <v>0.14882999999999999</v>
      </c>
    </row>
    <row r="46" spans="1:28" ht="51">
      <c r="A46" s="333" t="s">
        <v>542</v>
      </c>
      <c r="B46" s="333" t="s">
        <v>619</v>
      </c>
      <c r="C46" s="333" t="s">
        <v>543</v>
      </c>
      <c r="D46" s="333" t="s">
        <v>544</v>
      </c>
      <c r="E46" s="334" t="s">
        <v>567</v>
      </c>
      <c r="F46" s="317" t="s">
        <v>328</v>
      </c>
      <c r="G46" s="318">
        <v>13.53</v>
      </c>
      <c r="H46" s="319" t="s">
        <v>341</v>
      </c>
      <c r="I46" s="319">
        <v>300</v>
      </c>
      <c r="J46" s="319">
        <v>3</v>
      </c>
      <c r="K46" s="335">
        <f>IF(Tabela5[[#This Row],[Periodicidade]]="","",(VLOOKUP(Tabela5[[#This Row],[Periodicidade]],'PADRAO E REFERENCIA'!$F$3:$J$7,3,FALSE)*Tabela5[[#This Row],[Frequência]]))</f>
        <v>3</v>
      </c>
      <c r="L46" s="321">
        <f>IF(Tabela5[[#This Row],[Rotina Diária]]="","",Tabela5[[#This Row],[Tamanho Real]]*Tabela5[[#This Row],[Rotina Diária]])</f>
        <v>40.589999999999996</v>
      </c>
      <c r="M46" s="322">
        <f>Tabela5[[#This Row],[Área Efetiva em Diária]]/Tabela5[[#This Row],[Produtividade]]</f>
        <v>0.13529999999999998</v>
      </c>
      <c r="N46" s="331">
        <f>(IF(Tabela5[[#This Row],[Produtividade]]="","",1/Tabela5[[#This Row],[Produtividade]]))</f>
        <v>3.3333333333333335E-3</v>
      </c>
      <c r="O46" s="331">
        <f>IF(Tabela5[[#This Row],[Produtividade]]="","",(VLOOKUP(Tabela5[[#This Row],[Periodicidade]],Tabela3[#All],2,FALSE)))</f>
        <v>220</v>
      </c>
      <c r="P46" s="331">
        <f>1/Tabela5[[#This Row],[Frequência de Horas no Mês]]</f>
        <v>4.5454545454545452E-3</v>
      </c>
      <c r="Q46" s="331">
        <f>Tabela5[[#This Row],[Jornada de Trabalho mês]]*Tabela5[[#This Row],[Frequência de Horas no Mês]]*Tabela5[[#This Row],[Produtividade (1/M2)]]</f>
        <v>3.3333333333333335E-3</v>
      </c>
      <c r="R46" s="332">
        <f>IF(Tabela5[[#This Row],[Atividades]]&lt;&gt;"Roçar",'PLANILHA DE CUSTOS'!$G$14,'PLANILHA DE CUSTOS'!$G$15)</f>
        <v>2710.1714579257778</v>
      </c>
      <c r="S46" s="324">
        <f>'PLANILHA DE CUSTOS'!$G$92</f>
        <v>3139.8850132792086</v>
      </c>
      <c r="T46" s="325">
        <f>IF(Tabela5[[#This Row],[Proporção de Horas Trabalhadas pela Produtividade Adotada2]]="","",Tabela5[[#This Row],[Proporção de Horas Trabalhadas pela Produtividade Adotada2]]*Tabela5[[#This Row],[ Valor Total por Agente de Limpeza ]])</f>
        <v>9.0339048597525924</v>
      </c>
      <c r="U46" s="325">
        <f>IF(Tabela5[[#This Row],[Proporção de Horas Trabalhadas pela Produtividade Adotada2]]="","",Tabela5[[#This Row],[ Valor Total por Líder de Serviços ]]/Tabela5[[#Totals],[Mão de Obras]]*Tabela5[[#This Row],[Proporção de Horas Trabalhadas pela Produtividade Adotada2]])</f>
        <v>2.0931344657755186</v>
      </c>
      <c r="V46" s="324">
        <f>IF(Tabela5[[#This Row],[Proporção de Horas Trabalhadas pela Produtividade Adotada2]]="","",Tabela5[[#This Row],[Custo do M2 limpo pelo Líder]]+Tabela5[[#This Row],[Custo do M2 limpo pelo Agente]])</f>
        <v>11.127039325528111</v>
      </c>
      <c r="W46" s="326">
        <f>IF(Tabela5[[#This Row],[Proporção de Horas Trabalhadas pela Produtividade Adotada2]]="","",Tabela5[[#This Row],[Área Efetiva em Diária]])</f>
        <v>40.589999999999996</v>
      </c>
      <c r="X46" s="327">
        <f>Tabela5[[#This Row],[Custo do M2 limpo pelo Agente]]*Tabela5[[#This Row],[Área Efetiva em Diária]]</f>
        <v>366.68619825735772</v>
      </c>
      <c r="Y46" s="327">
        <f>Tabela5[[#This Row],[Custo do M2 limpo pelo Líder]]*Tabela5[[#This Row],[Área Efetiva em Diária]]</f>
        <v>84.960327965828299</v>
      </c>
      <c r="Z46" s="328">
        <f>IF(Tabela5[[#Totals],[Mão de Obras]]&lt;=4,Tabela5[[#This Row],[Custo do M2 limpo pelo Agente]]*Tabela5[[#This Row],[Área Final para Remuneração]],Tabela5[[#This Row],[Custo Total do M2 limpo]]*Tabela5[[#This Row],[Área Final para Remuneração]])</f>
        <v>451.64652622318596</v>
      </c>
      <c r="AA46" s="329">
        <f>IF(Tabela5[[#This Row],[Área Final para Remuneração]]="","",((Tabela5[[#This Row],[Área Efetiva em Diária]])*(8.8))/Tabela5[[#This Row],[Produtividade]]/24)</f>
        <v>4.9609999999999994E-2</v>
      </c>
      <c r="AB46" s="329">
        <f>IF(Tabela5[[#This Row],[Área Final para Remuneração]]="","",((Tabela5[[#This Row],[Área Efetiva em Diária]])*(8.8))/Tabela5[[#This Row],[Produtividade]]/24*Tabela5[[#This Row],[Frequência]])</f>
        <v>0.14882999999999999</v>
      </c>
    </row>
    <row r="47" spans="1:28">
      <c r="A47" s="333" t="s">
        <v>542</v>
      </c>
      <c r="B47" s="333" t="s">
        <v>620</v>
      </c>
      <c r="C47" s="333" t="s">
        <v>569</v>
      </c>
      <c r="D47" s="333" t="s">
        <v>544</v>
      </c>
      <c r="E47" s="334" t="s">
        <v>621</v>
      </c>
      <c r="F47" s="317" t="s">
        <v>323</v>
      </c>
      <c r="G47" s="318">
        <v>3.6</v>
      </c>
      <c r="H47" s="319" t="s">
        <v>341</v>
      </c>
      <c r="I47" s="319">
        <v>1200</v>
      </c>
      <c r="J47" s="319">
        <v>3</v>
      </c>
      <c r="K47" s="335">
        <f>IF(Tabela5[[#This Row],[Periodicidade]]="","",(VLOOKUP(Tabela5[[#This Row],[Periodicidade]],'PADRAO E REFERENCIA'!$F$3:$J$7,3,FALSE)*Tabela5[[#This Row],[Frequência]]))</f>
        <v>3</v>
      </c>
      <c r="L47" s="321">
        <f>IF(Tabela5[[#This Row],[Rotina Diária]]="","",Tabela5[[#This Row],[Tamanho Real]]*Tabela5[[#This Row],[Rotina Diária]])</f>
        <v>10.8</v>
      </c>
      <c r="M47" s="322">
        <f>Tabela5[[#This Row],[Área Efetiva em Diária]]/Tabela5[[#This Row],[Produtividade]]</f>
        <v>9.0000000000000011E-3</v>
      </c>
      <c r="N47" s="331">
        <f>(IF(Tabela5[[#This Row],[Produtividade]]="","",1/Tabela5[[#This Row],[Produtividade]]))</f>
        <v>8.3333333333333339E-4</v>
      </c>
      <c r="O47" s="331">
        <f>IF(Tabela5[[#This Row],[Produtividade]]="","",(VLOOKUP(Tabela5[[#This Row],[Periodicidade]],Tabela3[#All],2,FALSE)))</f>
        <v>220</v>
      </c>
      <c r="P47" s="331">
        <f>1/Tabela5[[#This Row],[Frequência de Horas no Mês]]</f>
        <v>4.5454545454545452E-3</v>
      </c>
      <c r="Q47" s="331">
        <f>Tabela5[[#This Row],[Jornada de Trabalho mês]]*Tabela5[[#This Row],[Frequência de Horas no Mês]]*Tabela5[[#This Row],[Produtividade (1/M2)]]</f>
        <v>8.3333333333333339E-4</v>
      </c>
      <c r="R47" s="332">
        <f>IF(Tabela5[[#This Row],[Atividades]]&lt;&gt;"Roçar",'PLANILHA DE CUSTOS'!$G$14,'PLANILHA DE CUSTOS'!$G$15)</f>
        <v>2710.1714579257778</v>
      </c>
      <c r="S47" s="324">
        <f>'PLANILHA DE CUSTOS'!$G$92</f>
        <v>3139.8850132792086</v>
      </c>
      <c r="T47" s="325">
        <f>IF(Tabela5[[#This Row],[Proporção de Horas Trabalhadas pela Produtividade Adotada2]]="","",Tabela5[[#This Row],[Proporção de Horas Trabalhadas pela Produtividade Adotada2]]*Tabela5[[#This Row],[ Valor Total por Agente de Limpeza ]])</f>
        <v>2.2584762149381481</v>
      </c>
      <c r="U47" s="325">
        <f>IF(Tabela5[[#This Row],[Proporção de Horas Trabalhadas pela Produtividade Adotada2]]="","",Tabela5[[#This Row],[ Valor Total por Líder de Serviços ]]/Tabela5[[#Totals],[Mão de Obras]]*Tabela5[[#This Row],[Proporção de Horas Trabalhadas pela Produtividade Adotada2]])</f>
        <v>0.52328361644387966</v>
      </c>
      <c r="V47" s="324">
        <f>IF(Tabela5[[#This Row],[Proporção de Horas Trabalhadas pela Produtividade Adotada2]]="","",Tabela5[[#This Row],[Custo do M2 limpo pelo Líder]]+Tabela5[[#This Row],[Custo do M2 limpo pelo Agente]])</f>
        <v>2.7817598313820278</v>
      </c>
      <c r="W47" s="326">
        <f>IF(Tabela5[[#This Row],[Proporção de Horas Trabalhadas pela Produtividade Adotada2]]="","",Tabela5[[#This Row],[Área Efetiva em Diária]])</f>
        <v>10.8</v>
      </c>
      <c r="X47" s="327">
        <f>Tabela5[[#This Row],[Custo do M2 limpo pelo Agente]]*Tabela5[[#This Row],[Área Efetiva em Diária]]</f>
        <v>24.391543121332003</v>
      </c>
      <c r="Y47" s="327">
        <f>Tabela5[[#This Row],[Custo do M2 limpo pelo Líder]]*Tabela5[[#This Row],[Área Efetiva em Diária]]</f>
        <v>5.6514630575939009</v>
      </c>
      <c r="Z47" s="328">
        <f>IF(Tabela5[[#Totals],[Mão de Obras]]&lt;=4,Tabela5[[#This Row],[Custo do M2 limpo pelo Agente]]*Tabela5[[#This Row],[Área Final para Remuneração]],Tabela5[[#This Row],[Custo Total do M2 limpo]]*Tabela5[[#This Row],[Área Final para Remuneração]])</f>
        <v>30.043006178925904</v>
      </c>
      <c r="AA47" s="329">
        <f>IF(Tabela5[[#This Row],[Área Final para Remuneração]]="","",((Tabela5[[#This Row],[Área Efetiva em Diária]])*(8.8))/Tabela5[[#This Row],[Produtividade]]/24)</f>
        <v>3.3000000000000008E-3</v>
      </c>
      <c r="AB47" s="329">
        <f>IF(Tabela5[[#This Row],[Área Final para Remuneração]]="","",((Tabela5[[#This Row],[Área Efetiva em Diária]])*(8.8))/Tabela5[[#This Row],[Produtividade]]/24*Tabela5[[#This Row],[Frequência]])</f>
        <v>9.9000000000000025E-3</v>
      </c>
    </row>
    <row r="48" spans="1:28" ht="38.25">
      <c r="A48" s="333" t="s">
        <v>542</v>
      </c>
      <c r="B48" s="333" t="s">
        <v>622</v>
      </c>
      <c r="C48" s="333" t="s">
        <v>569</v>
      </c>
      <c r="D48" s="333" t="s">
        <v>544</v>
      </c>
      <c r="E48" s="334" t="s">
        <v>623</v>
      </c>
      <c r="F48" s="317" t="s">
        <v>323</v>
      </c>
      <c r="G48" s="318">
        <v>30.4</v>
      </c>
      <c r="H48" s="319" t="s">
        <v>341</v>
      </c>
      <c r="I48" s="319">
        <v>1200</v>
      </c>
      <c r="J48" s="319">
        <v>3</v>
      </c>
      <c r="K48" s="335">
        <f>IF(Tabela5[[#This Row],[Periodicidade]]="","",(VLOOKUP(Tabela5[[#This Row],[Periodicidade]],'PADRAO E REFERENCIA'!$F$3:$J$7,3,FALSE)*Tabela5[[#This Row],[Frequência]]))</f>
        <v>3</v>
      </c>
      <c r="L48" s="321">
        <f>IF(Tabela5[[#This Row],[Rotina Diária]]="","",Tabela5[[#This Row],[Tamanho Real]]*Tabela5[[#This Row],[Rotina Diária]])</f>
        <v>91.199999999999989</v>
      </c>
      <c r="M48" s="322">
        <f>Tabela5[[#This Row],[Área Efetiva em Diária]]/Tabela5[[#This Row],[Produtividade]]</f>
        <v>7.5999999999999984E-2</v>
      </c>
      <c r="N48" s="331">
        <f>(IF(Tabela5[[#This Row],[Produtividade]]="","",1/Tabela5[[#This Row],[Produtividade]]))</f>
        <v>8.3333333333333339E-4</v>
      </c>
      <c r="O48" s="331">
        <f>IF(Tabela5[[#This Row],[Produtividade]]="","",(VLOOKUP(Tabela5[[#This Row],[Periodicidade]],Tabela3[#All],2,FALSE)))</f>
        <v>220</v>
      </c>
      <c r="P48" s="331">
        <f>1/Tabela5[[#This Row],[Frequência de Horas no Mês]]</f>
        <v>4.5454545454545452E-3</v>
      </c>
      <c r="Q48" s="331">
        <f>Tabela5[[#This Row],[Jornada de Trabalho mês]]*Tabela5[[#This Row],[Frequência de Horas no Mês]]*Tabela5[[#This Row],[Produtividade (1/M2)]]</f>
        <v>8.3333333333333339E-4</v>
      </c>
      <c r="R48" s="332">
        <f>IF(Tabela5[[#This Row],[Atividades]]&lt;&gt;"Roçar",'PLANILHA DE CUSTOS'!$G$14,'PLANILHA DE CUSTOS'!$G$15)</f>
        <v>2710.1714579257778</v>
      </c>
      <c r="S48" s="324">
        <f>'PLANILHA DE CUSTOS'!$G$92</f>
        <v>3139.8850132792086</v>
      </c>
      <c r="T48" s="325">
        <f>IF(Tabela5[[#This Row],[Proporção de Horas Trabalhadas pela Produtividade Adotada2]]="","",Tabela5[[#This Row],[Proporção de Horas Trabalhadas pela Produtividade Adotada2]]*Tabela5[[#This Row],[ Valor Total por Agente de Limpeza ]])</f>
        <v>2.2584762149381481</v>
      </c>
      <c r="U48" s="325">
        <f>IF(Tabela5[[#This Row],[Proporção de Horas Trabalhadas pela Produtividade Adotada2]]="","",Tabela5[[#This Row],[ Valor Total por Líder de Serviços ]]/Tabela5[[#Totals],[Mão de Obras]]*Tabela5[[#This Row],[Proporção de Horas Trabalhadas pela Produtividade Adotada2]])</f>
        <v>0.52328361644387966</v>
      </c>
      <c r="V48" s="324">
        <f>IF(Tabela5[[#This Row],[Proporção de Horas Trabalhadas pela Produtividade Adotada2]]="","",Tabela5[[#This Row],[Custo do M2 limpo pelo Líder]]+Tabela5[[#This Row],[Custo do M2 limpo pelo Agente]])</f>
        <v>2.7817598313820278</v>
      </c>
      <c r="W48" s="326">
        <f>IF(Tabela5[[#This Row],[Proporção de Horas Trabalhadas pela Produtividade Adotada2]]="","",Tabela5[[#This Row],[Área Efetiva em Diária]])</f>
        <v>91.199999999999989</v>
      </c>
      <c r="X48" s="327">
        <f>Tabela5[[#This Row],[Custo do M2 limpo pelo Agente]]*Tabela5[[#This Row],[Área Efetiva em Diária]]</f>
        <v>205.97303080235909</v>
      </c>
      <c r="Y48" s="327">
        <f>Tabela5[[#This Row],[Custo do M2 limpo pelo Líder]]*Tabela5[[#This Row],[Área Efetiva em Diária]]</f>
        <v>47.72346581968182</v>
      </c>
      <c r="Z48" s="328">
        <f>IF(Tabela5[[#Totals],[Mão de Obras]]&lt;=4,Tabela5[[#This Row],[Custo do M2 limpo pelo Agente]]*Tabela5[[#This Row],[Área Final para Remuneração]],Tabela5[[#This Row],[Custo Total do M2 limpo]]*Tabela5[[#This Row],[Área Final para Remuneração]])</f>
        <v>253.69649662204091</v>
      </c>
      <c r="AA48" s="329">
        <f>IF(Tabela5[[#This Row],[Área Final para Remuneração]]="","",((Tabela5[[#This Row],[Área Efetiva em Diária]])*(8.8))/Tabela5[[#This Row],[Produtividade]]/24)</f>
        <v>2.7866666666666665E-2</v>
      </c>
      <c r="AB48" s="329">
        <f>IF(Tabela5[[#This Row],[Área Final para Remuneração]]="","",((Tabela5[[#This Row],[Área Efetiva em Diária]])*(8.8))/Tabela5[[#This Row],[Produtividade]]/24*Tabela5[[#This Row],[Frequência]])</f>
        <v>8.3599999999999994E-2</v>
      </c>
    </row>
    <row r="49" spans="1:28" ht="89.25">
      <c r="A49" s="333" t="s">
        <v>542</v>
      </c>
      <c r="B49" s="333" t="s">
        <v>624</v>
      </c>
      <c r="C49" s="333" t="s">
        <v>569</v>
      </c>
      <c r="D49" s="333" t="s">
        <v>544</v>
      </c>
      <c r="E49" s="334" t="s">
        <v>625</v>
      </c>
      <c r="F49" s="317" t="s">
        <v>323</v>
      </c>
      <c r="G49" s="318">
        <v>74.2</v>
      </c>
      <c r="H49" s="319" t="s">
        <v>341</v>
      </c>
      <c r="I49" s="319">
        <v>1200</v>
      </c>
      <c r="J49" s="319">
        <v>3</v>
      </c>
      <c r="K49" s="335">
        <f>IF(Tabela5[[#This Row],[Periodicidade]]="","",(VLOOKUP(Tabela5[[#This Row],[Periodicidade]],'PADRAO E REFERENCIA'!$F$3:$J$7,3,FALSE)*Tabela5[[#This Row],[Frequência]]))</f>
        <v>3</v>
      </c>
      <c r="L49" s="321">
        <f>IF(Tabela5[[#This Row],[Rotina Diária]]="","",Tabela5[[#This Row],[Tamanho Real]]*Tabela5[[#This Row],[Rotina Diária]])</f>
        <v>222.60000000000002</v>
      </c>
      <c r="M49" s="322">
        <f>Tabela5[[#This Row],[Área Efetiva em Diária]]/Tabela5[[#This Row],[Produtividade]]</f>
        <v>0.18550000000000003</v>
      </c>
      <c r="N49" s="331">
        <f>(IF(Tabela5[[#This Row],[Produtividade]]="","",1/Tabela5[[#This Row],[Produtividade]]))</f>
        <v>8.3333333333333339E-4</v>
      </c>
      <c r="O49" s="331">
        <f>IF(Tabela5[[#This Row],[Produtividade]]="","",(VLOOKUP(Tabela5[[#This Row],[Periodicidade]],Tabela3[#All],2,FALSE)))</f>
        <v>220</v>
      </c>
      <c r="P49" s="331">
        <f>1/Tabela5[[#This Row],[Frequência de Horas no Mês]]</f>
        <v>4.5454545454545452E-3</v>
      </c>
      <c r="Q49" s="331">
        <f>Tabela5[[#This Row],[Jornada de Trabalho mês]]*Tabela5[[#This Row],[Frequência de Horas no Mês]]*Tabela5[[#This Row],[Produtividade (1/M2)]]</f>
        <v>8.3333333333333339E-4</v>
      </c>
      <c r="R49" s="332">
        <f>IF(Tabela5[[#This Row],[Atividades]]&lt;&gt;"Roçar",'PLANILHA DE CUSTOS'!$G$14,'PLANILHA DE CUSTOS'!$G$15)</f>
        <v>2710.1714579257778</v>
      </c>
      <c r="S49" s="324">
        <f>'PLANILHA DE CUSTOS'!$G$92</f>
        <v>3139.8850132792086</v>
      </c>
      <c r="T49" s="325">
        <f>IF(Tabela5[[#This Row],[Proporção de Horas Trabalhadas pela Produtividade Adotada2]]="","",Tabela5[[#This Row],[Proporção de Horas Trabalhadas pela Produtividade Adotada2]]*Tabela5[[#This Row],[ Valor Total por Agente de Limpeza ]])</f>
        <v>2.2584762149381481</v>
      </c>
      <c r="U49" s="325">
        <f>IF(Tabela5[[#This Row],[Proporção de Horas Trabalhadas pela Produtividade Adotada2]]="","",Tabela5[[#This Row],[ Valor Total por Líder de Serviços ]]/Tabela5[[#Totals],[Mão de Obras]]*Tabela5[[#This Row],[Proporção de Horas Trabalhadas pela Produtividade Adotada2]])</f>
        <v>0.52328361644387966</v>
      </c>
      <c r="V49" s="324">
        <f>IF(Tabela5[[#This Row],[Proporção de Horas Trabalhadas pela Produtividade Adotada2]]="","",Tabela5[[#This Row],[Custo do M2 limpo pelo Líder]]+Tabela5[[#This Row],[Custo do M2 limpo pelo Agente]])</f>
        <v>2.7817598313820278</v>
      </c>
      <c r="W49" s="326">
        <f>IF(Tabela5[[#This Row],[Proporção de Horas Trabalhadas pela Produtividade Adotada2]]="","",Tabela5[[#This Row],[Área Efetiva em Diária]])</f>
        <v>222.60000000000002</v>
      </c>
      <c r="X49" s="327">
        <f>Tabela5[[#This Row],[Custo do M2 limpo pelo Agente]]*Tabela5[[#This Row],[Área Efetiva em Diária]]</f>
        <v>502.73680544523182</v>
      </c>
      <c r="Y49" s="327">
        <f>Tabela5[[#This Row],[Custo do M2 limpo pelo Líder]]*Tabela5[[#This Row],[Área Efetiva em Diária]]</f>
        <v>116.48293302040763</v>
      </c>
      <c r="Z49" s="328">
        <f>IF(Tabela5[[#Totals],[Mão de Obras]]&lt;=4,Tabela5[[#This Row],[Custo do M2 limpo pelo Agente]]*Tabela5[[#This Row],[Área Final para Remuneração]],Tabela5[[#This Row],[Custo Total do M2 limpo]]*Tabela5[[#This Row],[Área Final para Remuneração]])</f>
        <v>619.21973846563947</v>
      </c>
      <c r="AA49" s="329">
        <f>IF(Tabela5[[#This Row],[Área Final para Remuneração]]="","",((Tabela5[[#This Row],[Área Efetiva em Diária]])*(8.8))/Tabela5[[#This Row],[Produtividade]]/24)</f>
        <v>6.8016666666666684E-2</v>
      </c>
      <c r="AB49" s="329">
        <f>IF(Tabela5[[#This Row],[Área Final para Remuneração]]="","",((Tabela5[[#This Row],[Área Efetiva em Diária]])*(8.8))/Tabela5[[#This Row],[Produtividade]]/24*Tabela5[[#This Row],[Frequência]])</f>
        <v>0.20405000000000006</v>
      </c>
    </row>
    <row r="50" spans="1:28" ht="127.5">
      <c r="A50" s="333" t="s">
        <v>584</v>
      </c>
      <c r="B50" s="333" t="s">
        <v>297</v>
      </c>
      <c r="C50" s="333" t="s">
        <v>559</v>
      </c>
      <c r="D50" s="333" t="s">
        <v>544</v>
      </c>
      <c r="E50" s="334" t="s">
        <v>586</v>
      </c>
      <c r="F50" s="317" t="s">
        <v>328</v>
      </c>
      <c r="G50" s="318">
        <v>2.4900000000000002</v>
      </c>
      <c r="H50" s="319" t="s">
        <v>344</v>
      </c>
      <c r="I50" s="319">
        <v>300</v>
      </c>
      <c r="J50" s="319">
        <v>2</v>
      </c>
      <c r="K50" s="335">
        <f>IF(Tabela5[[#This Row],[Periodicidade]]="","",(VLOOKUP(Tabela5[[#This Row],[Periodicidade]],'PADRAO E REFERENCIA'!$F$3:$J$7,3,FALSE)*Tabela5[[#This Row],[Frequência]]))</f>
        <v>0.08</v>
      </c>
      <c r="L50" s="321">
        <f>IF(Tabela5[[#This Row],[Rotina Diária]]="","",Tabela5[[#This Row],[Tamanho Real]]*Tabela5[[#This Row],[Rotina Diária]])</f>
        <v>0.19920000000000002</v>
      </c>
      <c r="M50" s="322">
        <f>Tabela5[[#This Row],[Área Efetiva em Diária]]/Tabela5[[#This Row],[Produtividade]]</f>
        <v>6.6400000000000009E-4</v>
      </c>
      <c r="N50" s="331">
        <f>(IF(Tabela5[[#This Row],[Produtividade]]="","",1/Tabela5[[#This Row],[Produtividade]]))</f>
        <v>3.3333333333333335E-3</v>
      </c>
      <c r="O50" s="331">
        <f>IF(Tabela5[[#This Row],[Produtividade]]="","",(VLOOKUP(Tabela5[[#This Row],[Periodicidade]],Tabela3[#All],2,FALSE)))</f>
        <v>8.8000000000000007</v>
      </c>
      <c r="P50" s="331">
        <f>1/Tabela5[[#This Row],[Frequência de Horas no Mês]]</f>
        <v>0.11363636363636363</v>
      </c>
      <c r="Q50" s="331">
        <f>Tabela5[[#This Row],[Jornada de Trabalho mês]]*Tabela5[[#This Row],[Frequência de Horas no Mês]]*Tabela5[[#This Row],[Produtividade (1/M2)]]</f>
        <v>3.3333333333333335E-3</v>
      </c>
      <c r="R50" s="332">
        <f>IF(Tabela5[[#This Row],[Atividades]]&lt;&gt;"Roçar",'PLANILHA DE CUSTOS'!$G$14,'PLANILHA DE CUSTOS'!$G$15)</f>
        <v>2710.1714579257778</v>
      </c>
      <c r="S50" s="324">
        <f>'PLANILHA DE CUSTOS'!$G$92</f>
        <v>3139.8850132792086</v>
      </c>
      <c r="T50" s="325">
        <f>IF(Tabela5[[#This Row],[Proporção de Horas Trabalhadas pela Produtividade Adotada2]]="","",Tabela5[[#This Row],[Proporção de Horas Trabalhadas pela Produtividade Adotada2]]*Tabela5[[#This Row],[ Valor Total por Agente de Limpeza ]])</f>
        <v>9.0339048597525924</v>
      </c>
      <c r="U50" s="325">
        <f>IF(Tabela5[[#This Row],[Proporção de Horas Trabalhadas pela Produtividade Adotada2]]="","",Tabela5[[#This Row],[ Valor Total por Líder de Serviços ]]/Tabela5[[#Totals],[Mão de Obras]]*Tabela5[[#This Row],[Proporção de Horas Trabalhadas pela Produtividade Adotada2]])</f>
        <v>2.0931344657755186</v>
      </c>
      <c r="V50" s="324">
        <f>IF(Tabela5[[#This Row],[Proporção de Horas Trabalhadas pela Produtividade Adotada2]]="","",Tabela5[[#This Row],[Custo do M2 limpo pelo Líder]]+Tabela5[[#This Row],[Custo do M2 limpo pelo Agente]])</f>
        <v>11.127039325528111</v>
      </c>
      <c r="W50" s="326">
        <f>IF(Tabela5[[#This Row],[Proporção de Horas Trabalhadas pela Produtividade Adotada2]]="","",Tabela5[[#This Row],[Área Efetiva em Diária]])</f>
        <v>0.19920000000000002</v>
      </c>
      <c r="X50" s="327">
        <f>Tabela5[[#This Row],[Custo do M2 limpo pelo Agente]]*Tabela5[[#This Row],[Área Efetiva em Diária]]</f>
        <v>1.7995538480627165</v>
      </c>
      <c r="Y50" s="327">
        <f>Tabela5[[#This Row],[Custo do M2 limpo pelo Líder]]*Tabela5[[#This Row],[Área Efetiva em Diária]]</f>
        <v>0.41695238558248338</v>
      </c>
      <c r="Z50" s="328">
        <f>IF(Tabela5[[#Totals],[Mão de Obras]]&lt;=4,Tabela5[[#This Row],[Custo do M2 limpo pelo Agente]]*Tabela5[[#This Row],[Área Final para Remuneração]],Tabela5[[#This Row],[Custo Total do M2 limpo]]*Tabela5[[#This Row],[Área Final para Remuneração]])</f>
        <v>2.2165062336451999</v>
      </c>
      <c r="AA50" s="329">
        <f>IF(Tabela5[[#This Row],[Área Final para Remuneração]]="","",((Tabela5[[#This Row],[Área Efetiva em Diária]])*(8.8))/Tabela5[[#This Row],[Produtividade]]/24)</f>
        <v>2.4346666666666668E-4</v>
      </c>
      <c r="AB50" s="329">
        <f>IF(Tabela5[[#This Row],[Área Final para Remuneração]]="","",((Tabela5[[#This Row],[Área Efetiva em Diária]])*(8.8))/Tabela5[[#This Row],[Produtividade]]/24*Tabela5[[#This Row],[Frequência]])</f>
        <v>4.8693333333333337E-4</v>
      </c>
    </row>
    <row r="51" spans="1:28">
      <c r="A51" s="336" t="s">
        <v>8</v>
      </c>
      <c r="B51" s="336"/>
      <c r="C51" s="336"/>
      <c r="D51" s="336"/>
      <c r="E51" s="337"/>
      <c r="F51" s="338"/>
      <c r="G51" s="339">
        <f>SUBTOTAL(109,Tabela5[Tamanho Real])</f>
        <v>1578.154</v>
      </c>
      <c r="H51" s="336"/>
      <c r="I51" s="336"/>
      <c r="J51" s="336"/>
      <c r="K51" s="340"/>
      <c r="L51" s="341">
        <f>SUBTOTAL(109,Tabela5[Área Efetiva em Diária])</f>
        <v>4252.1403999999993</v>
      </c>
      <c r="M51" s="339">
        <f>SUBTOTAL(109,Tabela5[Mão de Obras])</f>
        <v>5.0002919299881405</v>
      </c>
      <c r="N51" s="342"/>
      <c r="O51" s="342"/>
      <c r="P51" s="342"/>
      <c r="Q51" s="342"/>
      <c r="R51" s="343">
        <f>SUBTOTAL(101,Tabela5[[ Valor Total por Agente de Limpeza ]])</f>
        <v>2710.1714579257791</v>
      </c>
      <c r="S51" s="343">
        <f>SUBTOTAL(101,Tabela5[[ Valor Total por Líder de Serviços ]])</f>
        <v>3139.8850132792109</v>
      </c>
      <c r="T51" s="354">
        <f>SUBTOTAL(101,Tabela5[Custo do M2 limpo pelo Agente])</f>
        <v>4.0820467056714218</v>
      </c>
      <c r="U51" s="354">
        <f>SUBTOTAL(101,Tabela5[Custo do M2 limpo pelo Líder])</f>
        <v>0.94580060153304102</v>
      </c>
      <c r="V51" s="343">
        <f>SUBTOTAL(101,Tabela5[Custo Total do M2 limpo])</f>
        <v>5.0278473072044632</v>
      </c>
      <c r="W51" s="344">
        <f>SUBTOTAL(109,Tabela5[Área Final para Remuneração])</f>
        <v>4252.1403999999993</v>
      </c>
      <c r="X51" s="345">
        <f>SUBTOTAL(109,Tabela5[Custo Mensal Estimado Agente])</f>
        <v>13551.648469950458</v>
      </c>
      <c r="Y51" s="345">
        <f>SUBTOTAL(109,Tabela5[Custo Mensal Estimado Lider])</f>
        <v>3139.885013279209</v>
      </c>
      <c r="Z51" s="346">
        <f>SUBTOTAL(109,Tabela5[Remuneração Mensal])</f>
        <v>16691.533483229672</v>
      </c>
      <c r="AA51" s="347">
        <f>SUBTOTAL(109,Tabela5[Tempo Unitário Estimado das Atividades])</f>
        <v>1.8334403743289849</v>
      </c>
      <c r="AB51" s="347">
        <f>SUBTOTAL(109,Tabela5[Tempo Total Estimado das Atividades])</f>
        <v>5.1908078982306209</v>
      </c>
    </row>
    <row r="55" spans="1:28">
      <c r="X55" s="353" t="e">
        <f>#REF!</f>
        <v>#REF!</v>
      </c>
      <c r="Y55" s="353" t="e">
        <f>#REF!</f>
        <v>#REF!</v>
      </c>
    </row>
    <row r="56" spans="1:28">
      <c r="Y56" s="353" t="e">
        <f>Tabela5[[#Totals],[Custo Mensal Estimado Lider]]-Y55</f>
        <v>#REF!</v>
      </c>
    </row>
    <row r="57" spans="1:28">
      <c r="X57" s="353" t="e">
        <f>Tabela5[[#Totals],[Custo Mensal Estimado Agente]]-X55</f>
        <v>#REF!</v>
      </c>
      <c r="Y57" s="353" t="e">
        <f>X57*12</f>
        <v>#REF!</v>
      </c>
    </row>
  </sheetData>
  <sheetProtection algorithmName="SHA-512" hashValue="x6BZYOKx0Z3bWcytOgTbD6OCNdllTZ7EJ/zj7gmaSzqBjTok8+IQtZCW5uNuj9f2XoW7RG4JCRf8viJNH21M2w==" saltValue="LBezIVMy8ajHhJ06+mTduQ==" spinCount="100000" sheet="1" objects="1" scenarios="1"/>
  <pageMargins left="0.511811024" right="0.511811024" top="0.78740157499999996" bottom="0.78740157499999996" header="0" footer="0"/>
  <pageSetup orientation="landscape"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errorTitle="Erro Fatal!" prompt="Selecione na lista" xr:uid="{00000000-0002-0000-0D00-000000000000}">
          <x14:formula1>
            <xm:f>'C:\Users\2688329\Google Drive\Demandas\2021\2 - Limpeza - IFAM\Planejamento\Demandas\Eirunepé - OK\[Levantamento_de_reas_e_materiais.xlsx]Definir Padrões e Referências'!#REF!</xm:f>
          </x14:formula1>
          <xm:sqref>H2:H50</xm:sqref>
        </x14:dataValidation>
        <x14:dataValidation type="list" showInputMessage="1" showErrorMessage="1" errorTitle="Erro Fatal!" error="Selecione somente entre os itens da lista!" prompt="Selecione na lista" xr:uid="{00000000-0002-0000-0D00-000001000000}">
          <x14:formula1>
            <xm:f>'C:\Users\2688329\Google Drive\Demandas\2021\2 - Limpeza - IFAM\Planejamento\Demandas\Eirunepé - OK\[Levantamento_de_reas_e_materiais.xlsx]Definir Padrões e Referências'!#REF!</xm:f>
          </x14:formula1>
          <xm:sqref>F2:F50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44"/>
  <sheetViews>
    <sheetView workbookViewId="0">
      <selection activeCell="F17" sqref="F17"/>
    </sheetView>
  </sheetViews>
  <sheetFormatPr defaultColWidth="9.140625" defaultRowHeight="15.75"/>
  <cols>
    <col min="1" max="1" width="130" style="5" customWidth="1"/>
    <col min="2" max="16384" width="9.140625" style="5"/>
  </cols>
  <sheetData>
    <row r="1" spans="1:1">
      <c r="A1" s="4" t="s">
        <v>51</v>
      </c>
    </row>
    <row r="2" spans="1:1" ht="31.5">
      <c r="A2" s="6" t="s">
        <v>52</v>
      </c>
    </row>
    <row r="3" spans="1:1">
      <c r="A3" s="4" t="s">
        <v>53</v>
      </c>
    </row>
    <row r="4" spans="1:1">
      <c r="A4" s="6" t="s">
        <v>54</v>
      </c>
    </row>
    <row r="5" spans="1:1">
      <c r="A5" s="7" t="s">
        <v>55</v>
      </c>
    </row>
    <row r="6" spans="1:1">
      <c r="A6" s="4" t="s">
        <v>56</v>
      </c>
    </row>
    <row r="7" spans="1:1" ht="47.25">
      <c r="A7" s="6" t="s">
        <v>57</v>
      </c>
    </row>
    <row r="8" spans="1:1">
      <c r="A8" s="4" t="s">
        <v>58</v>
      </c>
    </row>
    <row r="9" spans="1:1" ht="31.5">
      <c r="A9" s="6" t="s">
        <v>59</v>
      </c>
    </row>
    <row r="10" spans="1:1">
      <c r="A10" s="4" t="s">
        <v>60</v>
      </c>
    </row>
    <row r="11" spans="1:1" ht="31.5">
      <c r="A11" s="6" t="s">
        <v>61</v>
      </c>
    </row>
    <row r="12" spans="1:1">
      <c r="A12" s="4" t="s">
        <v>62</v>
      </c>
    </row>
    <row r="13" spans="1:1" ht="31.5">
      <c r="A13" s="6" t="s">
        <v>63</v>
      </c>
    </row>
    <row r="14" spans="1:1">
      <c r="A14" s="6"/>
    </row>
    <row r="15" spans="1:1" ht="31.5">
      <c r="A15" s="8" t="s">
        <v>131</v>
      </c>
    </row>
    <row r="16" spans="1:1" ht="31.5">
      <c r="A16" s="8" t="s">
        <v>132</v>
      </c>
    </row>
    <row r="17" spans="1:1" ht="47.25">
      <c r="A17" s="8" t="s">
        <v>133</v>
      </c>
    </row>
    <row r="19" spans="1:1">
      <c r="A19" s="9" t="s">
        <v>134</v>
      </c>
    </row>
    <row r="20" spans="1:1">
      <c r="A20" s="9" t="s">
        <v>135</v>
      </c>
    </row>
    <row r="21" spans="1:1">
      <c r="A21" s="10" t="s">
        <v>136</v>
      </c>
    </row>
    <row r="23" spans="1:1">
      <c r="A23" s="9" t="s">
        <v>137</v>
      </c>
    </row>
    <row r="24" spans="1:1" ht="31.5">
      <c r="A24" s="9" t="s">
        <v>138</v>
      </c>
    </row>
    <row r="25" spans="1:1">
      <c r="A25" s="11"/>
    </row>
    <row r="26" spans="1:1">
      <c r="A26" s="9" t="s">
        <v>97</v>
      </c>
    </row>
    <row r="27" spans="1:1">
      <c r="A27" s="9" t="s">
        <v>98</v>
      </c>
    </row>
    <row r="28" spans="1:1">
      <c r="A28" s="9" t="s">
        <v>99</v>
      </c>
    </row>
    <row r="29" spans="1:1" ht="47.25">
      <c r="A29" s="9" t="s">
        <v>139</v>
      </c>
    </row>
    <row r="30" spans="1:1" ht="110.25">
      <c r="A30" s="12" t="s">
        <v>108</v>
      </c>
    </row>
    <row r="31" spans="1:1" ht="78.75">
      <c r="A31" s="6" t="s">
        <v>109</v>
      </c>
    </row>
    <row r="32" spans="1:1" ht="63">
      <c r="A32" s="6" t="s">
        <v>110</v>
      </c>
    </row>
    <row r="33" spans="1:1">
      <c r="A33" s="6" t="s">
        <v>111</v>
      </c>
    </row>
    <row r="34" spans="1:1" ht="78.75">
      <c r="A34" s="12" t="s">
        <v>112</v>
      </c>
    </row>
    <row r="35" spans="1:1" ht="47.25">
      <c r="A35" s="12" t="s">
        <v>170</v>
      </c>
    </row>
    <row r="36" spans="1:1" ht="78.75">
      <c r="A36" s="12" t="s">
        <v>171</v>
      </c>
    </row>
    <row r="37" spans="1:1" ht="63">
      <c r="A37" s="12" t="s">
        <v>172</v>
      </c>
    </row>
    <row r="38" spans="1:1" ht="31.5">
      <c r="A38" s="12" t="s">
        <v>173</v>
      </c>
    </row>
    <row r="39" spans="1:1" ht="31.5">
      <c r="A39" s="12" t="s">
        <v>178</v>
      </c>
    </row>
    <row r="40" spans="1:1" ht="31.5">
      <c r="A40" s="12" t="s">
        <v>179</v>
      </c>
    </row>
    <row r="41" spans="1:1">
      <c r="A41" s="5" t="s">
        <v>180</v>
      </c>
    </row>
    <row r="42" spans="1:1" ht="31.5">
      <c r="A42" s="12" t="s">
        <v>183</v>
      </c>
    </row>
    <row r="44" spans="1:1" ht="47.25">
      <c r="A44" s="12" t="s">
        <v>170</v>
      </c>
    </row>
  </sheetData>
  <hyperlinks>
    <hyperlink ref="A5" r:id="rId1" display="http://www.mte.gov.br/legislacao/normas_regulamentadoras/nr_15.pdf" xr:uid="{00000000-0004-0000-0E00-000000000000}"/>
  </hyperlinks>
  <pageMargins left="0.511811024" right="0.511811024" top="0.78740157499999996" bottom="0.78740157499999996" header="0.31496062000000002" footer="0.31496062000000002"/>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Props1.xml><?xml version="1.0" encoding="utf-8"?>
<ds:datastoreItem xmlns:ds="http://schemas.openxmlformats.org/officeDocument/2006/customXml" ds:itemID="{8254AF28-FB79-4C2E-A42A-D5469871C85E}">
  <ds:schemaRefs/>
</ds:datastoreItem>
</file>

<file path=customXml/itemProps2.xml><?xml version="1.0" encoding="utf-8"?>
<ds:datastoreItem xmlns:ds="http://schemas.openxmlformats.org/officeDocument/2006/customXml" ds:itemID="{3CD87143-FD5B-4CFD-A11B-5C568605E5DF}">
  <ds:schemaRefs/>
</ds:datastoreItem>
</file>

<file path=customXml/itemProps3.xml><?xml version="1.0" encoding="utf-8"?>
<ds:datastoreItem xmlns:ds="http://schemas.openxmlformats.org/officeDocument/2006/customXml" ds:itemID="{5D6FD90C-3E7B-4AFC-9BFD-9AAF9600E517}">
  <ds:schemaRefs/>
</ds:datastoreItem>
</file>

<file path=customXml/itemProps4.xml><?xml version="1.0" encoding="utf-8"?>
<ds:datastoreItem xmlns:ds="http://schemas.openxmlformats.org/officeDocument/2006/customXml" ds:itemID="{F969F22D-40C6-4DEA-8BA3-F988AAABD963}">
  <ds:schemaRefs/>
</ds:datastoreItem>
</file>

<file path=customXml/itemProps5.xml><?xml version="1.0" encoding="utf-8"?>
<ds:datastoreItem xmlns:ds="http://schemas.openxmlformats.org/officeDocument/2006/customXml" ds:itemID="{6114A33D-F5C8-4473-9EAF-C9771A666100}">
  <ds:schemaRefs/>
</ds:datastoreItem>
</file>

<file path=customXml/itemProps6.xml><?xml version="1.0" encoding="utf-8"?>
<ds:datastoreItem xmlns:ds="http://schemas.openxmlformats.org/officeDocument/2006/customXml" ds:itemID="{F6BEA030-10B4-4F21-8C43-A1E6FD1F4DCA}">
  <ds:schemaRefs/>
</ds:datastoreItem>
</file>

<file path=customXml/itemProps7.xml><?xml version="1.0" encoding="utf-8"?>
<ds:datastoreItem xmlns:ds="http://schemas.openxmlformats.org/officeDocument/2006/customXml" ds:itemID="{F0543451-50DD-4B1B-90A2-478160652AA6}">
  <ds:schemaRefs/>
</ds:datastoreItem>
</file>

<file path=customXml/itemProps8.xml><?xml version="1.0" encoding="utf-8"?>
<ds:datastoreItem xmlns:ds="http://schemas.openxmlformats.org/officeDocument/2006/customXml" ds:itemID="{81A18D05-59AA-4730-BF26-A2F490400FB9}">
  <ds:schemaRefs/>
</ds:datastoreItem>
</file>

<file path=customXml/itemProps9.xml><?xml version="1.0" encoding="utf-8"?>
<ds:datastoreItem xmlns:ds="http://schemas.openxmlformats.org/officeDocument/2006/customXml" ds:itemID="{FF34E08E-67F8-4314-BEDB-8616273FE8DE}">
  <ds:schemaRefs/>
</ds:datastoreItem>
</file>

<file path=customXml/itemProps10.xml><?xml version="1.0" encoding="utf-8"?>
<ds:datastoreItem xmlns:ds="http://schemas.openxmlformats.org/officeDocument/2006/customXml" ds:itemID="{9BB962B6-700B-472B-B570-0AE9D50BEBD2}">
  <ds:schemaRefs/>
</ds:datastoreItem>
</file>

<file path=customXml/itemProps11.xml><?xml version="1.0" encoding="utf-8"?>
<ds:datastoreItem xmlns:ds="http://schemas.openxmlformats.org/officeDocument/2006/customXml" ds:itemID="{68DBF2B4-8CD3-4B60-A0A5-17A17BDAE31E}">
  <ds:schemaRefs/>
</ds:datastoreItem>
</file>

<file path=customXml/itemProps12.xml><?xml version="1.0" encoding="utf-8"?>
<ds:datastoreItem xmlns:ds="http://schemas.openxmlformats.org/officeDocument/2006/customXml" ds:itemID="{11F6E9FF-CA72-45A0-8C7A-46D7C37843D7}">
  <ds:schemaRefs/>
</ds:datastoreItem>
</file>

<file path=customXml/itemProps13.xml><?xml version="1.0" encoding="utf-8"?>
<ds:datastoreItem xmlns:ds="http://schemas.openxmlformats.org/officeDocument/2006/customXml" ds:itemID="{CF591317-0627-4CC0-A87D-6936CC4EA711}">
  <ds:schemaRefs/>
</ds:datastoreItem>
</file>

<file path=customXml/itemProps14.xml><?xml version="1.0" encoding="utf-8"?>
<ds:datastoreItem xmlns:ds="http://schemas.openxmlformats.org/officeDocument/2006/customXml" ds:itemID="{336B6564-DCCD-4D5F-819B-B742C3D2D3B0}">
  <ds:schemaRefs/>
</ds:datastoreItem>
</file>

<file path=customXml/itemProps15.xml><?xml version="1.0" encoding="utf-8"?>
<ds:datastoreItem xmlns:ds="http://schemas.openxmlformats.org/officeDocument/2006/customXml" ds:itemID="{5DB0791B-B96B-4A4C-A461-A946EF6F7FAE}">
  <ds:schemaRefs/>
</ds:datastoreItem>
</file>

<file path=customXml/itemProps16.xml><?xml version="1.0" encoding="utf-8"?>
<ds:datastoreItem xmlns:ds="http://schemas.openxmlformats.org/officeDocument/2006/customXml" ds:itemID="{90A459B9-144E-42B6-A621-07263054D355}">
  <ds:schemaRefs/>
</ds:datastoreItem>
</file>

<file path=customXml/itemProps17.xml><?xml version="1.0" encoding="utf-8"?>
<ds:datastoreItem xmlns:ds="http://schemas.openxmlformats.org/officeDocument/2006/customXml" ds:itemID="{1447E35B-4E68-41DE-B389-6D7B941DDB47}">
  <ds:schemaRefs/>
</ds:datastoreItem>
</file>

<file path=customXml/itemProps18.xml><?xml version="1.0" encoding="utf-8"?>
<ds:datastoreItem xmlns:ds="http://schemas.openxmlformats.org/officeDocument/2006/customXml" ds:itemID="{ACFD27C9-A527-4950-A81E-7E0C6C264A7C}">
  <ds:schemaRefs/>
</ds:datastoreItem>
</file>

<file path=customXml/itemProps19.xml><?xml version="1.0" encoding="utf-8"?>
<ds:datastoreItem xmlns:ds="http://schemas.openxmlformats.org/officeDocument/2006/customXml" ds:itemID="{69D56C0C-29C1-40DC-B85F-C220EB9BEA19}">
  <ds:schemaRefs/>
</ds:datastoreItem>
</file>

<file path=customXml/itemProps20.xml><?xml version="1.0" encoding="utf-8"?>
<ds:datastoreItem xmlns:ds="http://schemas.openxmlformats.org/officeDocument/2006/customXml" ds:itemID="{8BB091B6-DE0B-4580-A48E-9A033ACA89B2}">
  <ds:schemaRefs/>
</ds:datastoreItem>
</file>

<file path=customXml/itemProps21.xml><?xml version="1.0" encoding="utf-8"?>
<ds:datastoreItem xmlns:ds="http://schemas.openxmlformats.org/officeDocument/2006/customXml" ds:itemID="{20472EEB-8E4D-42AC-88DE-D224536F7038}">
  <ds:schemaRefs/>
</ds:datastoreItem>
</file>

<file path=customXml/itemProps22.xml><?xml version="1.0" encoding="utf-8"?>
<ds:datastoreItem xmlns:ds="http://schemas.openxmlformats.org/officeDocument/2006/customXml" ds:itemID="{5B3EC4E4-343B-489A-8954-0CED3586F216}">
  <ds:schemaRefs/>
</ds:datastoreItem>
</file>

<file path=customXml/itemProps23.xml><?xml version="1.0" encoding="utf-8"?>
<ds:datastoreItem xmlns:ds="http://schemas.openxmlformats.org/officeDocument/2006/customXml" ds:itemID="{802406A9-87AD-4A91-8EB9-57374F82061D}">
  <ds:schemaRefs/>
</ds:datastoreItem>
</file>

<file path=customXml/itemProps24.xml><?xml version="1.0" encoding="utf-8"?>
<ds:datastoreItem xmlns:ds="http://schemas.openxmlformats.org/officeDocument/2006/customXml" ds:itemID="{7A62A0E0-467A-4B54-8DD0-2150BD5DB01F}">
  <ds:schemaRefs/>
</ds:datastoreItem>
</file>

<file path=customXml/itemProps25.xml><?xml version="1.0" encoding="utf-8"?>
<ds:datastoreItem xmlns:ds="http://schemas.openxmlformats.org/officeDocument/2006/customXml" ds:itemID="{DC673CF1-3F6D-421D-9A06-7C268FB5FA2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15</vt:i4>
      </vt:variant>
      <vt:variant>
        <vt:lpstr>Intervalos Nomeados</vt:lpstr>
      </vt:variant>
      <vt:variant>
        <vt:i4>4</vt:i4>
      </vt:variant>
    </vt:vector>
  </HeadingPairs>
  <TitlesOfParts>
    <vt:vector size="19" baseType="lpstr">
      <vt:lpstr>PADRAO E REFERENCIA</vt:lpstr>
      <vt:lpstr>IN 05-2017</vt:lpstr>
      <vt:lpstr>VERIFICAÇÃO DO DESEQUILÍBRIO</vt:lpstr>
      <vt:lpstr>PARAMETROS DA CONTRATAÇÃO</vt:lpstr>
      <vt:lpstr>TABELA DE ATUALIZAÇÃO PROPOSTA</vt:lpstr>
      <vt:lpstr>PROPOSTA EM M2</vt:lpstr>
      <vt:lpstr>PLANILHA DE CUSTOS</vt:lpstr>
      <vt:lpstr>MATERIAIS</vt:lpstr>
      <vt:lpstr>DEMAIS MÓDULOS</vt:lpstr>
      <vt:lpstr>MÓDULO RESCISÃO</vt:lpstr>
      <vt:lpstr>MÓDULO 05</vt:lpstr>
      <vt:lpstr>Tempos</vt:lpstr>
      <vt:lpstr>MÓDULO PROFISSIONAL AUSENTE</vt:lpstr>
      <vt:lpstr>PLANO DE TRABALHO - CALCULO</vt:lpstr>
      <vt:lpstr>Orientações</vt:lpstr>
      <vt:lpstr>'DEMAIS MÓDULOS'!Area_de_impressao</vt:lpstr>
      <vt:lpstr>'MÓDULO 05'!Area_de_impressao</vt:lpstr>
      <vt:lpstr>'PLANILHA DE CUSTOS'!Area_de_impressao</vt:lpstr>
      <vt:lpstr>'PROPOSTA EM M2'!Area_de_impressao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Marlena Raquel dos Santos</dc:creator>
  <cp:lastModifiedBy>GB DA ROCHA</cp:lastModifiedBy>
  <cp:lastPrinted>2019-10-12T00:24:19Z</cp:lastPrinted>
  <dcterms:created xsi:type="dcterms:W3CDTF">2018-01-02T14:15:05Z</dcterms:created>
  <dcterms:modified xsi:type="dcterms:W3CDTF">2022-03-30T20:05:15Z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9a391077-65ae-4974-b934-d11df18c7ab4</vt:lpwstr>
  </property>
</Properties>
</file>